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450" windowWidth="14360" windowHeight="3600" firstSheet="4" activeTab="8"/>
  </bookViews>
  <sheets>
    <sheet name="Inputs" sheetId="1" r:id="rId1"/>
    <sheet name="Summary Financials" sheetId="2" r:id="rId2"/>
    <sheet name="Summary Range" sheetId="3" r:id="rId3"/>
    <sheet name="Reg Letters" sheetId="4" r:id="rId4"/>
    <sheet name="Reg Flats" sheetId="5" r:id="rId5"/>
    <sheet name="Reg Carrier Route Letters" sheetId="6" r:id="rId6"/>
    <sheet name="Reg Carrier Route Flats" sheetId="7" r:id="rId7"/>
    <sheet name="Reg-Sat Letters" sheetId="8" r:id="rId8"/>
    <sheet name="Reg-Sat Flats" sheetId="9" r:id="rId9"/>
    <sheet name="Reg-EDDM Letters" sheetId="10" r:id="rId10"/>
    <sheet name="Reg-EDDM Flats" sheetId="11" r:id="rId11"/>
    <sheet name="Reg-HD Plus Letters" sheetId="12" r:id="rId12"/>
    <sheet name="Reg-HD Plus Flats" sheetId="13" r:id="rId13"/>
    <sheet name="Reg HD Letters" sheetId="14" r:id="rId14"/>
    <sheet name="Reg HD Flats" sheetId="15" r:id="rId15"/>
    <sheet name="Reg Parcels" sheetId="16" r:id="rId16"/>
    <sheet name="NP Letters" sheetId="17" r:id="rId17"/>
    <sheet name="NP Flats" sheetId="18" r:id="rId18"/>
    <sheet name="NP Carrier Route Letters " sheetId="19" r:id="rId19"/>
    <sheet name="NP Carrier Route Flats" sheetId="20" r:id="rId20"/>
    <sheet name="NP Sat Letters" sheetId="21" r:id="rId21"/>
    <sheet name="NP Sat Flats" sheetId="22" r:id="rId22"/>
    <sheet name="NP EDDM Letters" sheetId="23" r:id="rId23"/>
    <sheet name="NP EDDM Flats" sheetId="24" r:id="rId24"/>
    <sheet name="NP HD Plus Letters" sheetId="25" r:id="rId25"/>
    <sheet name="NP HD Plus Flats" sheetId="26" r:id="rId26"/>
    <sheet name="NP HD Letters" sheetId="27" r:id="rId27"/>
    <sheet name="NP HD Flats" sheetId="28" r:id="rId28"/>
    <sheet name="NP Parcels" sheetId="29" r:id="rId29"/>
    <sheet name="RPW Vol and Rev" sheetId="30" r:id="rId30"/>
    <sheet name="Marketing Mail Volume Growth" sheetId="31" r:id="rId31"/>
  </sheets>
  <definedNames>
    <definedName name="_1_12_Mailings__100k">#REF!</definedName>
    <definedName name="_10_6_Mailings__500k">#REF!</definedName>
    <definedName name="_11_6_Mailings_100k_250k">#REF!</definedName>
    <definedName name="_12_6_Mailings_250k_500k">#REF!</definedName>
    <definedName name="_2_12_Mailings__500k">#REF!</definedName>
    <definedName name="_3_12_Mailings_100k_250k">#REF!</definedName>
    <definedName name="_4_12_Mailings_250k_500k">#REF!</definedName>
    <definedName name="_5_3_Mailings_100k_250k">#REF!</definedName>
    <definedName name="_6_3_Mailings_250k_500k">#REF!</definedName>
    <definedName name="_7_3_Mailings_gt_500k">#REF!</definedName>
    <definedName name="_8_3_Mailings_less_100k">#REF!</definedName>
    <definedName name="_9_6_Mailings__100k">#REF!</definedName>
    <definedName name="_oop3">#REF!</definedName>
    <definedName name="_xlfn.ANCHORARRAY" hidden="1">#NAME?</definedName>
    <definedName name="_xlfn.BAHTTEXT" hidden="1">#NAME?</definedName>
    <definedName name="_xlfn.FORECAST.ETS" hidden="1">#NAME?</definedName>
    <definedName name="_xlfn.IFERROR" hidden="1">#NAME?</definedName>
    <definedName name="_xlfn.IFNA" hidden="1">#NAME?</definedName>
    <definedName name="6_HD_2_Satmail">#REF!</definedName>
    <definedName name="A" localSheetId="19">OFFSET(ChartValues,0,-1)</definedName>
    <definedName name="A" localSheetId="18">OFFSET(ChartValues,0,-1)</definedName>
    <definedName name="A" localSheetId="23">OFFSET(ChartValues,0,-1)</definedName>
    <definedName name="A" localSheetId="22">OFFSET(ChartValues,0,-1)</definedName>
    <definedName name="A" localSheetId="26">OFFSET(ChartValues,0,-1)</definedName>
    <definedName name="A" localSheetId="28">OFFSET(ChartValues,0,-1)</definedName>
    <definedName name="A" localSheetId="21">OFFSET(ChartValues,0,-1)</definedName>
    <definedName name="A" localSheetId="6">OFFSET(ChartValues,0,-1)</definedName>
    <definedName name="A" localSheetId="5">OFFSET(ChartValues,0,-1)</definedName>
    <definedName name="A" localSheetId="13">OFFSET(ChartValues,0,-1)</definedName>
    <definedName name="A" localSheetId="15">OFFSET(ChartValues,0,-1)</definedName>
    <definedName name="A" localSheetId="10">OFFSET(ChartValues,0,-1)</definedName>
    <definedName name="A" localSheetId="9">OFFSET(ChartValues,0,-1)</definedName>
    <definedName name="A" localSheetId="8">OFFSET(ChartValues,0,-1)</definedName>
    <definedName name="A" localSheetId="29">OFFSET(ChartValues,0,-1)</definedName>
    <definedName name="A" localSheetId="2">OFFSET(ChartValues,0,-1)</definedName>
    <definedName name="A">OFFSET(ChartValues,0,-1)</definedName>
    <definedName name="Active_toggles">#REF!,#REF!</definedName>
    <definedName name="ActualValues">OFFSET(#REF!,0,0,COUNTA(#REF!),1)</definedName>
    <definedName name="asdf">#REF!</definedName>
    <definedName name="asdfg">#REF!</definedName>
    <definedName name="asdfgh">#REF!</definedName>
    <definedName name="B" localSheetId="29">OFFSET(FRBCume,0,-1)</definedName>
    <definedName name="B">OFFSET(FRBCume,0,-1)</definedName>
    <definedName name="CertEnd">#REF!</definedName>
    <definedName name="CFY">#REF!</definedName>
    <definedName name="ChtValues" localSheetId="19">OFFSET(ChartValues,0,-1)</definedName>
    <definedName name="ChtValues" localSheetId="18">OFFSET(ChartValues,0,-1)</definedName>
    <definedName name="ChtValues" localSheetId="23">OFFSET(ChartValues,0,-1)</definedName>
    <definedName name="ChtValues" localSheetId="22">OFFSET(ChartValues,0,-1)</definedName>
    <definedName name="ChtValues" localSheetId="26">OFFSET(ChartValues,0,-1)</definedName>
    <definedName name="ChtValues" localSheetId="28">OFFSET(ChartValues,0,-1)</definedName>
    <definedName name="ChtValues" localSheetId="21">OFFSET(ChartValues,0,-1)</definedName>
    <definedName name="ChtValues" localSheetId="6">OFFSET(ChartValues,0,-1)</definedName>
    <definedName name="ChtValues" localSheetId="5">OFFSET(ChartValues,0,-1)</definedName>
    <definedName name="ChtValues" localSheetId="13">OFFSET(ChartValues,0,-1)</definedName>
    <definedName name="ChtValues" localSheetId="15">OFFSET(ChartValues,0,-1)</definedName>
    <definedName name="ChtValues" localSheetId="10">OFFSET(ChartValues,0,-1)</definedName>
    <definedName name="ChtValues" localSheetId="9">OFFSET(ChartValues,0,-1)</definedName>
    <definedName name="ChtValues" localSheetId="8">OFFSET(ChartValues,0,-1)</definedName>
    <definedName name="ChtValues" localSheetId="29">OFFSET(ChartValues,0,-1)</definedName>
    <definedName name="ChtValues" localSheetId="2">OFFSET(ChartValues,0,-1)</definedName>
    <definedName name="ChtValues">OFFSET(ChartValues,0,-1)</definedName>
    <definedName name="CumeLabels" localSheetId="29">OFFSET(FRBCume,0,-1)</definedName>
    <definedName name="CumeLabels">OFFSET(FRBCume,0,-1)</definedName>
    <definedName name="d">#REF!</definedName>
    <definedName name="DATA">#REF!</definedName>
    <definedName name="Database_v4">#REF!</definedName>
    <definedName name="DATE">#REF!</definedName>
    <definedName name="DAY">#REF!</definedName>
    <definedName name="Export03142010">#REF!</definedName>
    <definedName name="Export09302009">#REF!</definedName>
    <definedName name="Export10012009">#REF!</definedName>
    <definedName name="Export10022009">#REF!</definedName>
    <definedName name="Export10052009">#REF!</definedName>
    <definedName name="Export10062009">#REF!</definedName>
    <definedName name="Export10132009">#REF!</definedName>
    <definedName name="Export10152009">#REF!</definedName>
    <definedName name="Export10222009">#REF!</definedName>
    <definedName name="Export10292009">#REF!</definedName>
    <definedName name="Export11062009">#REF!</definedName>
    <definedName name="exported">#REF!</definedName>
    <definedName name="exported2">#REF!</definedName>
    <definedName name="F">#REF!</definedName>
    <definedName name="ForecastValues">OFFSET(#REF!,0,0,COUNTA(#REF!),1)</definedName>
    <definedName name="FRBCume">OFFSET(#REF!,0,0,COUNTA(#REF!),1)</definedName>
    <definedName name="FRBLift">OFFSET(#REF!,0,0,COUNTA(#REF!),1)</definedName>
    <definedName name="FROM_TO_MONTH">#REF!</definedName>
    <definedName name="FROM_TO_QT">#REF!</definedName>
    <definedName name="FROM_TO_YTD">#REF!</definedName>
    <definedName name="FY">#REF!</definedName>
    <definedName name="HD_03182010">#REF!</definedName>
    <definedName name="HD_data_03152010Export03142010">#REF!</definedName>
    <definedName name="Headers">#REF!</definedName>
    <definedName name="LastUpdate">#REF!</definedName>
    <definedName name="LFY">#REF!</definedName>
    <definedName name="LiftLabels" localSheetId="29">OFFSET(FRBLift,0,-3)</definedName>
    <definedName name="LiftLabels">OFFSET(FRBLift,0,-3)</definedName>
    <definedName name="MC" localSheetId="29" hidden="1">{#N/A,#N/A,FALSE,"Natl-HQ-Svc-Fld cksht";#N/A,#N/A,FALSE,"Tie-in Cksht";#N/A,#N/A,FALSE,"Proof Sheet"}</definedName>
    <definedName name="MC" hidden="1">{#N/A,#N/A,FALSE,"Natl-HQ-Svc-Fld cksht";#N/A,#N/A,FALSE,"Tie-in Cksht";#N/A,#N/A,FALSE,"Proof Sheet"}</definedName>
    <definedName name="MONTH">#REF!</definedName>
    <definedName name="Netflix">#REF!</definedName>
    <definedName name="ooops">#REF!</definedName>
    <definedName name="oops1">#REF!</definedName>
    <definedName name="oops3">#REF!</definedName>
    <definedName name="PercentPlan" localSheetId="19">OFFSET(TOTAL #REF!,0,0,COUNTA(TOTAL #REF!),1)</definedName>
    <definedName name="PercentPlan" localSheetId="18">OFFSET(TOTAL #REF!,0,0,COUNTA(TOTAL #REF!),1)</definedName>
    <definedName name="PercentPlan" localSheetId="23">OFFSET(TOTAL #REF!,0,0,COUNTA(TOTAL #REF!),1)</definedName>
    <definedName name="PercentPlan" localSheetId="22">OFFSET(TOTAL #REF!,0,0,COUNTA(TOTAL #REF!),1)</definedName>
    <definedName name="PercentPlan" localSheetId="26">OFFSET(TOTAL #REF!,0,0,COUNTA(TOTAL #REF!),1)</definedName>
    <definedName name="PercentPlan" localSheetId="28">OFFSET(TOTAL #REF!,0,0,COUNTA(TOTAL #REF!),1)</definedName>
    <definedName name="PercentPlan" localSheetId="21">OFFSET(TOTAL #REF!,0,0,COUNTA(TOTAL #REF!),1)</definedName>
    <definedName name="PercentPlan" localSheetId="6">OFFSET(TOTAL #REF!,0,0,COUNTA(TOTAL #REF!),1)</definedName>
    <definedName name="PercentPlan" localSheetId="5">OFFSET(TOTAL #REF!,0,0,COUNTA(TOTAL #REF!),1)</definedName>
    <definedName name="PercentPlan" localSheetId="13">OFFSET(TOTAL #REF!,0,0,COUNTA(TOTAL #REF!),1)</definedName>
    <definedName name="PercentPlan" localSheetId="15">OFFSET(TOTAL #REF!,0,0,COUNTA(TOTAL #REF!),1)</definedName>
    <definedName name="PercentPlan" localSheetId="10">OFFSET(TOTAL #REF!,0,0,COUNTA(TOTAL #REF!),1)</definedName>
    <definedName name="PercentPlan" localSheetId="9">OFFSET(TOTAL #REF!,0,0,COUNTA(TOTAL #REF!),1)</definedName>
    <definedName name="PercentPlan" localSheetId="8">OFFSET(TOTAL #REF!,0,0,COUNTA(TOTAL #REF!),1)</definedName>
    <definedName name="PercentPlan" localSheetId="29">OFFSET(TOTAL #REF!,0,0,COUNTA(TOTAL #REF!),1)</definedName>
    <definedName name="PercentPlan" localSheetId="2">OFFSET(TOTAL #REF!,0,0,COUNTA(TOTAL #REF!),1)</definedName>
    <definedName name="PercentPlan">OFFSET(TOTAL #REF!,0,0,COUNTA(TOTAL #REF!),1)</definedName>
    <definedName name="PRBLift">OFFSET(#REF!,0,0,COUNTA(#REF!),1)</definedName>
    <definedName name="prelim" localSheetId="29" hidden="1">{#N/A,#N/A,TRUE,"National";#N/A,#N/A,TRUE,"Rev Category ";#N/A,#N/A,TRUE,"Rev Source 2";#N/A,#N/A,TRUE,"Field Exp";#N/A,#N/A,TRUE,"Field Revenue all";#N/A,#N/A,TRUE,"Field WkHRS";#N/A,#N/A,TRUE,"orpes (3)"}</definedName>
    <definedName name="prelim" hidden="1">{#N/A,#N/A,TRUE,"National";#N/A,#N/A,TRUE,"Rev Category ";#N/A,#N/A,TRUE,"Rev Source 2";#N/A,#N/A,TRUE,"Field Exp";#N/A,#N/A,TRUE,"Field Revenue all";#N/A,#N/A,TRUE,"Field WkHRS";#N/A,#N/A,TRUE,"orpes (3)"}</definedName>
    <definedName name="_xlnm.Print_Area" localSheetId="0">'Inputs'!$A$1:$H$144</definedName>
    <definedName name="_xlnm.Print_Area" localSheetId="30">'Marketing Mail Volume Growth'!$A$1:$C$22</definedName>
    <definedName name="_xlnm.Print_Area" localSheetId="19">'NP Carrier Route Flats'!$A$1:$H$43</definedName>
    <definedName name="_xlnm.Print_Area" localSheetId="18">'NP Carrier Route Letters '!$A$1:$H$43</definedName>
    <definedName name="_xlnm.Print_Area" localSheetId="23">'NP EDDM Flats'!$A$1:$H$43</definedName>
    <definedName name="_xlnm.Print_Area" localSheetId="22">'NP EDDM Letters'!$A$1:$H$43</definedName>
    <definedName name="_xlnm.Print_Area" localSheetId="17">'NP Flats'!$A$1:$H$43</definedName>
    <definedName name="_xlnm.Print_Area" localSheetId="27">'NP HD Flats'!$A$1:$H$43</definedName>
    <definedName name="_xlnm.Print_Area" localSheetId="26">'NP HD Letters'!$A$1:$H$43</definedName>
    <definedName name="_xlnm.Print_Area" localSheetId="25">'NP HD Plus Flats'!$A$1:$H$43</definedName>
    <definedName name="_xlnm.Print_Area" localSheetId="24">'NP HD Plus Letters'!$A$1:$H$43</definedName>
    <definedName name="_xlnm.Print_Area" localSheetId="16">'NP Letters'!$A$1:$H$37</definedName>
    <definedName name="_xlnm.Print_Area" localSheetId="28">'NP Parcels'!$A$1:$H$43</definedName>
    <definedName name="_xlnm.Print_Area" localSheetId="21">'NP Sat Flats'!$A$1:$H$43</definedName>
    <definedName name="_xlnm.Print_Area" localSheetId="20">'NP Sat Letters'!$A$1:$H$43</definedName>
    <definedName name="_xlnm.Print_Area" localSheetId="6">'Reg Carrier Route Flats'!$A$1:$H$43</definedName>
    <definedName name="_xlnm.Print_Area" localSheetId="5">'Reg Carrier Route Letters'!$A$1:$H$43</definedName>
    <definedName name="_xlnm.Print_Area" localSheetId="4">'Reg Flats'!$A$1:$H$43</definedName>
    <definedName name="_xlnm.Print_Area" localSheetId="14">'Reg HD Flats'!$A$1:$H$43</definedName>
    <definedName name="_xlnm.Print_Area" localSheetId="13">'Reg HD Letters'!$A$1:$H$43</definedName>
    <definedName name="_xlnm.Print_Area" localSheetId="3">'Reg Letters'!$A$1:$H$37</definedName>
    <definedName name="_xlnm.Print_Area" localSheetId="15">'Reg Parcels'!$A$1:$H$43</definedName>
    <definedName name="_xlnm.Print_Area" localSheetId="10">'Reg-EDDM Flats'!$A$1:$H$43</definedName>
    <definedName name="_xlnm.Print_Area" localSheetId="9">'Reg-EDDM Letters'!$A$1:$H$43</definedName>
    <definedName name="_xlnm.Print_Area" localSheetId="12">'Reg-HD Plus Flats'!$A$1:$H$43</definedName>
    <definedName name="_xlnm.Print_Area" localSheetId="11">'Reg-HD Plus Letters'!$A$1:$H$43</definedName>
    <definedName name="_xlnm.Print_Area" localSheetId="8">'Reg-Sat Flats'!$A$1:$H$43</definedName>
    <definedName name="_xlnm.Print_Area" localSheetId="7">'Reg-Sat Letters'!$A$1:$H$43</definedName>
    <definedName name="_xlnm.Print_Area" localSheetId="29">'RPW Vol and Rev'!$A$1:$I$45</definedName>
    <definedName name="_xlnm.Print_Area" localSheetId="1">'Summary Financials'!$A$1:$O$35</definedName>
    <definedName name="_xlnm.Print_Area" localSheetId="2">'Summary Range'!$A$1:$L$15</definedName>
    <definedName name="Print_Area_MI">#REF!</definedName>
    <definedName name="PriorityCume">OFFSET(#REF!,0,0,COUNTA(#REF!),1)</definedName>
    <definedName name="PriorityLift">OFFSET(#REF!,0,0,COUNTA(#REF!),1)</definedName>
    <definedName name="QT">#REF!</definedName>
    <definedName name="Raw_Data">#REF!</definedName>
    <definedName name="RegEnd">#REF!</definedName>
    <definedName name="REV">#REF!</definedName>
    <definedName name="Revenue__Management_case">#REF!</definedName>
    <definedName name="Revenue_Scenario_Name">#REF!</definedName>
    <definedName name="Satmail_03182010_night">#REF!</definedName>
    <definedName name="Satmail03182010">#REF!</definedName>
    <definedName name="sheet1Header">#REF!</definedName>
    <definedName name="sheet1LOF">#REF!</definedName>
    <definedName name="sheet1LOT">#REF!</definedName>
    <definedName name="sheet4LOF">#REF!</definedName>
    <definedName name="StatusOptions">#REF!</definedName>
    <definedName name="StatusReport">#REF!</definedName>
    <definedName name="Summer_Sale_Acct_6k_custlist">#REF!</definedName>
    <definedName name="tbl1">#REF!</definedName>
    <definedName name="tbl2">#REF!</definedName>
    <definedName name="ValEnd">#REF!</definedName>
    <definedName name="VOL">#REF!</definedName>
    <definedName name="wrn.Full._.Budget._.Package." localSheetId="29" hidden="1">{#N/A,#N/A,TRUE,"Field";#N/A,#N/A,TRUE,"HQ less servicewide";#N/A,#N/A,TRUE,"Servicewide";#N/A,#N/A,TRUE,"HQ Programs";#N/A,#N/A,TRUE,"Corporatewide (7X)"}</definedName>
    <definedName name="wrn.Full._.Budget._.Package." hidden="1">{#N/A,#N/A,TRUE,"Field";#N/A,#N/A,TRUE,"HQ less servicewide";#N/A,#N/A,TRUE,"Servicewide";#N/A,#N/A,TRUE,"HQ Programs";#N/A,#N/A,TRUE,"Corporatewide (7X)"}</definedName>
    <definedName name="wrn.Full._.wksht._.file._.print." localSheetId="29" hidden="1">{#N/A,#N/A,FALSE,"National";#N/A,#N/A,FALSE,"Field";#N/A,#N/A,FALSE,"HQ less servicewide";#N/A,#N/A,FALSE,"HQ - SVW Wksht";#N/A,#N/A,FALSE,"Servicewide";#N/A,#N/A,FALSE,"HQ Programs";#N/A,#N/A,FALSE,"Corporatewide (7X)";#N/A,#N/A,FALSE,"Rev Category ";#N/A,#N/A,FALSE,"Field Exp";#N/A,#N/A,FALSE,"Field WkHRS";#N/A,#N/A,FALSE,"Rev Source 2";#N/A,#N/A,FALSE,"Field Revenue all"}</definedName>
    <definedName name="wrn.Full._.wksht._.file._.print." hidden="1">{#N/A,#N/A,FALSE,"National";#N/A,#N/A,FALSE,"Field";#N/A,#N/A,FALSE,"HQ less servicewide";#N/A,#N/A,FALSE,"HQ - SVW Wksht";#N/A,#N/A,FALSE,"Servicewide";#N/A,#N/A,FALSE,"HQ Programs";#N/A,#N/A,FALSE,"Corporatewide (7X)";#N/A,#N/A,FALSE,"Rev Category ";#N/A,#N/A,FALSE,"Field Exp";#N/A,#N/A,FALSE,"Field WkHRS";#N/A,#N/A,FALSE,"Rev Source 2";#N/A,#N/A,FALSE,"Field Revenue all"}</definedName>
    <definedName name="wrn.Prelim._.Package." localSheetId="29" hidden="1">{#N/A,#N/A,TRUE,"National";#N/A,#N/A,TRUE,"Rev Category ";#N/A,#N/A,TRUE,"Rev Source 2";#N/A,#N/A,TRUE,"Field Exp";#N/A,#N/A,TRUE,"Field Revenue all";#N/A,#N/A,TRUE,"Field WkHRS";#N/A,#N/A,TRUE,"orpes (3)"}</definedName>
    <definedName name="wrn.Prelim._.Package." hidden="1">{#N/A,#N/A,TRUE,"National";#N/A,#N/A,TRUE,"Rev Category ";#N/A,#N/A,TRUE,"Rev Source 2";#N/A,#N/A,TRUE,"Field Exp";#N/A,#N/A,TRUE,"Field Revenue all";#N/A,#N/A,TRUE,"Field WkHRS";#N/A,#N/A,TRUE,"orpes (3)"}</definedName>
    <definedName name="wrn.Print._.Proof._.Sheets." localSheetId="29" hidden="1">{#N/A,#N/A,FALSE,"Natl-HQ-Svc-Fld cksht";#N/A,#N/A,FALSE,"Tie-in Cksht";#N/A,#N/A,FALSE,"Proof Sheet"}</definedName>
    <definedName name="wrn.Print._.Proof._.Sheets." hidden="1">{#N/A,#N/A,FALSE,"Natl-HQ-Svc-Fld cksht";#N/A,#N/A,FALSE,"Tie-in Cksht";#N/A,#N/A,FALSE,"Proof Sheet"}</definedName>
  </definedNames>
  <calcPr fullCalcOnLoad="1"/>
</workbook>
</file>

<file path=xl/sharedStrings.xml><?xml version="1.0" encoding="utf-8"?>
<sst xmlns="http://schemas.openxmlformats.org/spreadsheetml/2006/main" count="1515" uniqueCount="183">
  <si>
    <t>Item</t>
  </si>
  <si>
    <t>Value</t>
  </si>
  <si>
    <t>Description</t>
  </si>
  <si>
    <t>Source</t>
  </si>
  <si>
    <t>Program Requirements</t>
  </si>
  <si>
    <t>Threshold</t>
  </si>
  <si>
    <t>Discount on the avg rev/pc</t>
  </si>
  <si>
    <t>% of Eligible Volume Participating in Program</t>
  </si>
  <si>
    <t>Incremental Volume over Threshold (Rebate Vol)</t>
  </si>
  <si>
    <t>Attributable Cost of Incremental</t>
  </si>
  <si>
    <t>Total Net Contribution</t>
  </si>
  <si>
    <t>Reg HD Plus Flats</t>
  </si>
  <si>
    <t>Volume Growth from Base</t>
  </si>
  <si>
    <t>= n - o</t>
  </si>
  <si>
    <t>Volume growth from base</t>
  </si>
  <si>
    <t>Grand Total</t>
  </si>
  <si>
    <t>Reg HD Letters</t>
  </si>
  <si>
    <t>Reg HD Plus Letters</t>
  </si>
  <si>
    <t>Reg HD Flats</t>
  </si>
  <si>
    <t>= l - m</t>
  </si>
  <si>
    <t>Volume Projections</t>
  </si>
  <si>
    <t>Incremental Revenue</t>
  </si>
  <si>
    <t>Rebate Cost</t>
  </si>
  <si>
    <t>Growers</t>
  </si>
  <si>
    <t>Calculated</t>
  </si>
  <si>
    <t>Net Contribution from Incremental</t>
  </si>
  <si>
    <t>Program Incremental Revenue over Threshold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</si>
  <si>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</si>
  <si>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</si>
  <si>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</si>
  <si>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</si>
  <si>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</si>
  <si>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</si>
  <si>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</si>
  <si>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</si>
  <si>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</si>
  <si>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</si>
  <si>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</si>
  <si>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</si>
  <si>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</si>
  <si>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</si>
  <si>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</si>
  <si>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</si>
  <si>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Program Incremental Rev less Rebate</t>
  </si>
  <si>
    <t>Calculation</t>
  </si>
  <si>
    <t>Attributable Cost from Program Incremental Growth</t>
  </si>
  <si>
    <t>Net Contribution</t>
  </si>
  <si>
    <t>Net Contribution (Incr Rev less Rebate and Att Cost)</t>
  </si>
  <si>
    <t>Regular</t>
  </si>
  <si>
    <t>Non-profit</t>
  </si>
  <si>
    <t>Volume</t>
  </si>
  <si>
    <t>Total</t>
  </si>
  <si>
    <t>% of Total</t>
  </si>
  <si>
    <t>Q1</t>
  </si>
  <si>
    <t>Q2</t>
  </si>
  <si>
    <t>Q3</t>
  </si>
  <si>
    <t>Q4</t>
  </si>
  <si>
    <t>2024 Incentive Program Requirements</t>
  </si>
  <si>
    <t>Revenue per Piece</t>
  </si>
  <si>
    <t>Attributable Cost per Piece</t>
  </si>
  <si>
    <t>Marketing Mail Volume</t>
  </si>
  <si>
    <t>Total Projected CY2024 Volume</t>
  </si>
  <si>
    <t>Projected CY2024 Volume</t>
  </si>
  <si>
    <t>Reg Letters</t>
  </si>
  <si>
    <t>Reg Flats</t>
  </si>
  <si>
    <t>Reg Carrier Route Letters</t>
  </si>
  <si>
    <t>Reg Carrier Route Flats</t>
  </si>
  <si>
    <t>Reg Catalogs</t>
  </si>
  <si>
    <t>Reg Saturation Letters</t>
  </si>
  <si>
    <t>Reg Saturation Flats</t>
  </si>
  <si>
    <t>Reg EDDM Letters</t>
  </si>
  <si>
    <t>Reg EDDM Flats</t>
  </si>
  <si>
    <t>Reg Parcels</t>
  </si>
  <si>
    <t>NP Letters</t>
  </si>
  <si>
    <t>NP Flats</t>
  </si>
  <si>
    <t>NP Carrier Route Letters</t>
  </si>
  <si>
    <t>NP Carrier Route Flats</t>
  </si>
  <si>
    <t>NP Catalogs</t>
  </si>
  <si>
    <t>NP Saturation Letters</t>
  </si>
  <si>
    <t>NP Saturation Flats</t>
  </si>
  <si>
    <t>NP EDDM Letters</t>
  </si>
  <si>
    <t>NP EDDM Flats</t>
  </si>
  <si>
    <t>NP HD Letters</t>
  </si>
  <si>
    <t>NP HD Flats</t>
  </si>
  <si>
    <t>NP HD Plus Letters</t>
  </si>
  <si>
    <t>NP HD Plus Flats</t>
  </si>
  <si>
    <t>NP Parcels</t>
  </si>
  <si>
    <t>CY22 Quarterly Volume and Revenue by Product</t>
  </si>
  <si>
    <t>FY22Q2 - FY23Q1 RPW</t>
  </si>
  <si>
    <t>Marketing Mail Volume Growth</t>
  </si>
  <si>
    <t xml:space="preserve">   High Density Letters</t>
  </si>
  <si>
    <t xml:space="preserve">   Saturation Letters</t>
  </si>
  <si>
    <t xml:space="preserve">   High Density Flats &amp; Parcels</t>
  </si>
  <si>
    <t xml:space="preserve">   Saturation Flats &amp; Parcels</t>
  </si>
  <si>
    <t xml:space="preserve">   Carrier Route</t>
  </si>
  <si>
    <t xml:space="preserve">   Letters</t>
  </si>
  <si>
    <t xml:space="preserve">   Flats</t>
  </si>
  <si>
    <t xml:space="preserve">   Parcels </t>
  </si>
  <si>
    <t>Total USPS Marketing Mail</t>
  </si>
  <si>
    <t>CY2022 Volume</t>
  </si>
  <si>
    <t>CY2022 Revenue</t>
  </si>
  <si>
    <t>CY2022 Rev/Pc</t>
  </si>
  <si>
    <t>&gt;=1,000,000</t>
  </si>
  <si>
    <t>CY2023 Volume</t>
  </si>
  <si>
    <t>CY2024 Volume</t>
  </si>
  <si>
    <t>Volume Requirement</t>
  </si>
  <si>
    <t>Program Rules</t>
  </si>
  <si>
    <t>Reg Total</t>
  </si>
  <si>
    <t>NP Total</t>
  </si>
  <si>
    <t>CPI 2023</t>
  </si>
  <si>
    <t>CPI 2024</t>
  </si>
  <si>
    <t>Inflation Rate</t>
  </si>
  <si>
    <t>CY22 Rev/Pc</t>
  </si>
  <si>
    <t>CY24 Rev/Pc (Forecasted)</t>
  </si>
  <si>
    <t>Summer Sale 
2009</t>
  </si>
  <si>
    <t>Based on qualified customers who applied and participated in the program</t>
  </si>
  <si>
    <t>Projected CY2024 Revenue</t>
  </si>
  <si>
    <t>CY24 Cost/Pc (Forecasted)</t>
  </si>
  <si>
    <t>CY2024 Incentive Requirements</t>
  </si>
  <si>
    <t>CY2022 Total Marketing Mail Volume</t>
  </si>
  <si>
    <t>CY2022 Marketing Mail</t>
  </si>
  <si>
    <t>% of Total Marketing Mail Eligible for Program</t>
  </si>
  <si>
    <t>Volume Growth % over Threshold</t>
  </si>
  <si>
    <t>FY23Q1</t>
  </si>
  <si>
    <t>FY23Q2</t>
  </si>
  <si>
    <t>FY23Q3</t>
  </si>
  <si>
    <t>FY23Q4</t>
  </si>
  <si>
    <t>Base Year Volume FY23</t>
  </si>
  <si>
    <t>Threshold FY23</t>
  </si>
  <si>
    <t>FY22Q2</t>
  </si>
  <si>
    <t>FY22Q3</t>
  </si>
  <si>
    <t>FY22Q4</t>
  </si>
  <si>
    <t>= h - f</t>
  </si>
  <si>
    <t>= h - g</t>
  </si>
  <si>
    <t>CY2024 Marketing Mail Incentive Program</t>
  </si>
  <si>
    <t>FY22 Cost/Pc</t>
  </si>
  <si>
    <t>Customer Data Mart (CDM)</t>
  </si>
  <si>
    <t>Based on analyzing Mail Owner CRIDS that would meet 1,000,000 minimum piece count (CY22 Volume) and their associated volumes</t>
  </si>
  <si>
    <t>Rebate/Credit</t>
  </si>
  <si>
    <t>Based on Analysis of CY23 vs CY22 Mail Owner Analysis and benchmarked against prior incentive programs</t>
  </si>
  <si>
    <t>Mailers must exceed *total baseline* volume in order to receive a rebate</t>
  </si>
  <si>
    <t>Minimum mail volume to achieve credit/rebate</t>
  </si>
  <si>
    <t>FY23 Q2 YTD RPW</t>
  </si>
  <si>
    <t>FY22 CRA; Docket ACR 2022 Public Cost and Revenue Analysis (PCRA) Report; Public_FY22CRAReport</t>
  </si>
  <si>
    <t>RPW Quarterly Extract Files FY22Q2 - FY23Q1</t>
  </si>
  <si>
    <t>% of Marketing Mail volume that will register for the Marketing Mail Growth Incentive, will meet all incentive requirements, and earn a credit during the incentive period.</t>
  </si>
  <si>
    <t>Incremental Volume</t>
  </si>
  <si>
    <t>Rebates</t>
  </si>
  <si>
    <t>Incremental Contribution</t>
  </si>
  <si>
    <t>Conversion ----&gt;</t>
  </si>
  <si>
    <t>Mid-Range Financial Estimates</t>
  </si>
  <si>
    <t>Mid-Range Program Financial Estimates</t>
  </si>
  <si>
    <t>Mid-Range 
Financial Estimates</t>
  </si>
  <si>
    <t>Estimated Program Financials (in millions)</t>
  </si>
  <si>
    <t>Estimated Program Financials - Ranges</t>
  </si>
  <si>
    <t>FY22Q1</t>
  </si>
  <si>
    <t>CY22 Total</t>
  </si>
  <si>
    <t>CY23 Total</t>
  </si>
  <si>
    <t>High 
(125% of Mid-range)</t>
  </si>
  <si>
    <t>FY23 Q2 YTD volume growth over SPLY</t>
  </si>
  <si>
    <t>International Monetary Fund CPI projection for United States, April 2023</t>
  </si>
  <si>
    <t>Participant Grower Base Volume %</t>
  </si>
  <si>
    <r>
      <t xml:space="preserve">FY23 YTD Marketing Mail Volume </t>
    </r>
    <r>
      <rPr>
        <sz val="8"/>
        <rFont val="Calibri"/>
        <family val="2"/>
      </rPr>
      <t>∆</t>
    </r>
    <r>
      <rPr>
        <sz val="8"/>
        <rFont val="Arial"/>
        <family val="2"/>
      </rPr>
      <t xml:space="preserve"> over SPLY</t>
    </r>
  </si>
  <si>
    <t>% Volume that participates and exceeds threshold</t>
  </si>
  <si>
    <t>Notes: Non-profit uses Regular products as a proxy due irregular fluctuations in FY23Q1 non-profit volume</t>
  </si>
  <si>
    <t>Source: FY22 figures from RPW as filed in ACR 2022; FY23 figures from Quarterly RPW Extracts</t>
  </si>
  <si>
    <t>FY23 Q2 YTD over SPLY</t>
  </si>
  <si>
    <t xml:space="preserve">Source: FY23 Q2 YTD RPW Extract </t>
  </si>
  <si>
    <t>Notes:</t>
  </si>
  <si>
    <t>Regular Carrier Route Flats, Regular Saturation Flats, NP Carrier Route Flats, and NP Saturation Flats include parcels</t>
  </si>
  <si>
    <t>Regular Carrier Route Flats includes Carrier Route parcels</t>
  </si>
  <si>
    <t>Regular Saturation Flats includes Saturation parcels</t>
  </si>
  <si>
    <t>NP Saturation Flats includes Saturation parcels</t>
  </si>
  <si>
    <t>NP Carrier Route Flats includes Carrier Route parcels</t>
  </si>
  <si>
    <t>Low 
(75% of Mid-range)</t>
  </si>
  <si>
    <t>FY24Q1</t>
  </si>
  <si>
    <t>FY24Q2</t>
  </si>
  <si>
    <t>FY24Q3</t>
  </si>
  <si>
    <t>FY24Q4</t>
  </si>
  <si>
    <t>FY25Q1</t>
  </si>
  <si>
    <t>CY24 Total</t>
  </si>
  <si>
    <r>
      <t>Inputs</t>
    </r>
    <r>
      <rPr>
        <b/>
        <vertAlign val="superscript"/>
        <sz val="10"/>
        <rFont val="Arial"/>
        <family val="2"/>
      </rPr>
      <t>1</t>
    </r>
  </si>
  <si>
    <t>1/  Carrier Rouute Parcels and Saturation Parcels are included in Carrier Route Flats and Saturations Flats categories.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</si>
</sst>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00"/>
    <numFmt numFmtId="167" formatCode="0.0000"/>
    <numFmt numFmtId="168" formatCode="#,##0.0"/>
    <numFmt numFmtId="169" formatCode="_(&quot;$&quot;* #,##0.0000_);_(&quot;$&quot;* \(#,##0.0000\);_(&quot;$&quot;* &quot;-&quot;??_);_(@_)"/>
    <numFmt numFmtId="170" formatCode="0.000%"/>
    <numFmt numFmtId="171" formatCode="#,##0.00000"/>
    <numFmt numFmtId="172" formatCode="0.000000"/>
    <numFmt numFmtId="173" formatCode="0.0_);\(0.0\)"/>
    <numFmt numFmtId="174" formatCode="_(&quot;$&quot;* #,##0.000_);_(&quot;$&quot;* \(#,##0.000\);_(&quot;$&quot;* &quot;-&quot;???_);_(@_)"/>
    <numFmt numFmtId="175" formatCode="_(* #,##0.000_);_(* \(#,##0.000\);_(* &quot;-&quot;_);_(@_)"/>
  </numFmts>
  <fonts count="58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Arial"/>
      <family val="2"/>
    </font>
    <font>
      <b/>
      <i/>
      <sz val="8"/>
      <name val="Arial"/>
      <family val="2"/>
    </font>
    <font>
      <i/>
      <sz val="6"/>
      <name val="Arial"/>
      <family val="2"/>
    </font>
    <font>
      <sz val="8"/>
      <color indexed="12"/>
      <name val="Arial"/>
      <family val="2"/>
    </font>
    <font>
      <sz val="8"/>
      <color indexed="17"/>
      <name val="Arial"/>
      <family val="2"/>
    </font>
    <font>
      <sz val="11"/>
      <color indexed="8"/>
      <name val="Calibri"/>
      <family val="2"/>
    </font>
    <font>
      <sz val="10"/>
      <name val="Geneva"/>
      <family val="0"/>
    </font>
    <font>
      <sz val="7"/>
      <name val="Arial"/>
      <family val="2"/>
    </font>
    <font>
      <i/>
      <sz val="10"/>
      <color indexed="23"/>
      <name val="Calibri"/>
      <family val="2"/>
    </font>
    <font>
      <sz val="10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0"/>
      <color indexed="24"/>
      <name val="Arial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63"/>
      <name val="Calibri"/>
      <family val="2"/>
    </font>
    <font>
      <b/>
      <sz val="11"/>
      <color indexed="63"/>
      <name val="Calibri"/>
      <family val="2"/>
    </font>
    <font>
      <sz val="12"/>
      <name val="Times New Roman"/>
      <family val="1"/>
    </font>
    <font>
      <sz val="16"/>
      <color indexed="8"/>
      <name val="Calibri"/>
      <family val="2"/>
    </font>
    <font>
      <b/>
      <sz val="10"/>
      <color indexed="12"/>
      <name val="Courier New"/>
      <family val="3"/>
    </font>
    <font>
      <sz val="8"/>
      <color indexed="10"/>
      <name val="Arial"/>
      <family val="2"/>
    </font>
    <font>
      <b/>
      <u val="single"/>
      <sz val="8"/>
      <name val="Arial"/>
      <family val="2"/>
    </font>
    <font>
      <sz val="8"/>
      <color indexed="8"/>
      <name val="Arial"/>
      <family val="2"/>
    </font>
    <font>
      <sz val="8"/>
      <name val="Calibri"/>
      <family val="2"/>
    </font>
    <font>
      <b/>
      <vertAlign val="superscript"/>
      <sz val="10"/>
      <name val="Arial"/>
      <family val="2"/>
    </font>
    <font>
      <sz val="6"/>
      <name val="Arial"/>
      <family val="2"/>
    </font>
    <font>
      <sz val="8"/>
      <color indexed="30"/>
      <name val="Arial"/>
      <family val="2"/>
    </font>
    <font>
      <sz val="8"/>
      <color indexed="62"/>
      <name val="Arial"/>
      <family val="2"/>
    </font>
    <font>
      <sz val="8"/>
      <color rgb="FF0070C0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sz val="8"/>
      <color theme="4"/>
      <name val="Arial"/>
      <family val="2"/>
    </font>
    <font>
      <sz val="8"/>
      <color rgb="FF0000FF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/>
      <right style="thick"/>
      <top style="thick"/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</borders>
  <cellStyleXfs count="5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8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1" fillId="0" borderId="0" applyNumberFormat="0">
      <alignment horizontal="right"/>
      <protection/>
    </xf>
    <xf numFmtId="0" fontId="1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165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4" fontId="33" fillId="16" borderId="3" applyNumberFormat="0">
      <alignment/>
      <protection/>
    </xf>
    <xf numFmtId="165" fontId="33" fillId="16" borderId="3" applyNumberFormat="0">
      <alignment/>
      <protection/>
    </xf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34" fillId="0" borderId="5" applyNumberFormat="0" applyFill="0" applyAlignment="0" applyProtection="0"/>
    <xf numFmtId="0" fontId="17" fillId="0" borderId="6" applyNumberFormat="0" applyFill="0" applyAlignment="0" applyProtection="0"/>
    <xf numFmtId="0" fontId="35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0" borderId="0">
      <alignment horizontal="right" vertical="center"/>
      <protection locked="0"/>
    </xf>
    <xf numFmtId="0" fontId="19" fillId="7" borderId="1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8" fillId="5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8" fillId="5" borderId="7" applyNumberFormat="0" applyAlignment="0" applyProtection="0"/>
    <xf numFmtId="0" fontId="38" fillId="5" borderId="7" applyNumberFormat="0" applyAlignment="0" applyProtection="0"/>
    <xf numFmtId="0" fontId="38" fillId="5" borderId="7" applyNumberFormat="0" applyAlignment="0" applyProtection="0"/>
    <xf numFmtId="0" fontId="37" fillId="4" borderId="7" applyNumberFormat="0" applyAlignment="0" applyProtection="0"/>
    <xf numFmtId="0" fontId="38" fillId="5" borderId="7" applyNumberFormat="0" applyAlignment="0" applyProtection="0"/>
    <xf numFmtId="0" fontId="38" fillId="5" borderId="7" applyNumberFormat="0" applyAlignment="0" applyProtection="0"/>
    <xf numFmtId="0" fontId="38" fillId="5" borderId="7" applyNumberFormat="0" applyAlignment="0" applyProtection="0"/>
    <xf numFmtId="0" fontId="37" fillId="4" borderId="7" applyNumberFormat="0" applyAlignment="0" applyProtection="0"/>
    <xf numFmtId="0" fontId="38" fillId="5" borderId="7" applyNumberFormat="0" applyAlignment="0" applyProtection="0"/>
    <xf numFmtId="0" fontId="38" fillId="5" borderId="7" applyNumberFormat="0" applyAlignment="0" applyProtection="0"/>
    <xf numFmtId="0" fontId="38" fillId="5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37" fillId="4" borderId="7" applyNumberFormat="0" applyAlignment="0" applyProtection="0"/>
    <xf numFmtId="0" fontId="20" fillId="0" borderId="8" applyNumberFormat="0" applyFill="0" applyAlignment="0" applyProtection="0"/>
    <xf numFmtId="37" fontId="39" fillId="5" borderId="3" applyNumberFormat="0">
      <alignment/>
      <protection/>
    </xf>
    <xf numFmtId="37" fontId="39" fillId="5" borderId="3" applyNumberFormat="0">
      <alignment/>
      <protection/>
    </xf>
    <xf numFmtId="37" fontId="39" fillId="5" borderId="3" applyNumberFormat="0">
      <alignment/>
      <protection/>
    </xf>
    <xf numFmtId="37" fontId="39" fillId="5" borderId="3" applyNumberFormat="0">
      <alignment/>
      <protection/>
    </xf>
    <xf numFmtId="37" fontId="39" fillId="5" borderId="3" applyNumberFormat="0">
      <alignment/>
      <protection/>
    </xf>
    <xf numFmtId="37" fontId="39" fillId="5" borderId="3" applyNumberFormat="0">
      <alignment/>
      <protection/>
    </xf>
    <xf numFmtId="37" fontId="39" fillId="5" borderId="3" applyNumberFormat="0">
      <alignment/>
      <protection/>
    </xf>
    <xf numFmtId="37" fontId="39" fillId="15" borderId="3" applyNumberFormat="0">
      <alignment/>
      <protection/>
    </xf>
    <xf numFmtId="37" fontId="39" fillId="5" borderId="3" applyNumberFormat="0">
      <alignment/>
      <protection/>
    </xf>
    <xf numFmtId="37" fontId="39" fillId="15" borderId="3" applyNumberFormat="0">
      <alignment/>
      <protection/>
    </xf>
    <xf numFmtId="37" fontId="39" fillId="5" borderId="3" applyNumberFormat="0">
      <alignment/>
      <protection/>
    </xf>
    <xf numFmtId="37" fontId="39" fillId="5" borderId="3" applyNumberFormat="0">
      <alignment/>
      <protection/>
    </xf>
    <xf numFmtId="37" fontId="39" fillId="5" borderId="3" applyNumberFormat="0">
      <alignment/>
      <protection/>
    </xf>
    <xf numFmtId="37" fontId="39" fillId="5" borderId="3" applyNumberFormat="0">
      <alignment/>
      <protection/>
    </xf>
    <xf numFmtId="37" fontId="39" fillId="5" borderId="3" applyNumberFormat="0">
      <alignment/>
      <protection/>
    </xf>
    <xf numFmtId="37" fontId="39" fillId="5" borderId="3" applyNumberFormat="0">
      <alignment/>
      <protection/>
    </xf>
    <xf numFmtId="37" fontId="39" fillId="5" borderId="3" applyNumberFormat="0">
      <alignment/>
      <protection/>
    </xf>
    <xf numFmtId="37" fontId="39" fillId="5" borderId="3" applyNumberFormat="0">
      <alignment/>
      <protection/>
    </xf>
    <xf numFmtId="37" fontId="39" fillId="5" borderId="3" applyNumberFormat="0">
      <alignment/>
      <protection/>
    </xf>
    <xf numFmtId="37" fontId="39" fillId="15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29" fillId="16" borderId="3" applyNumberFormat="0">
      <alignment/>
      <protection/>
    </xf>
    <xf numFmtId="37" fontId="39" fillId="15" borderId="3" applyNumberFormat="0">
      <alignment/>
      <protection/>
    </xf>
    <xf numFmtId="37" fontId="39" fillId="15" borderId="3" applyNumberFormat="0">
      <alignment/>
      <protection/>
    </xf>
    <xf numFmtId="37" fontId="39" fillId="15" borderId="3" applyNumberFormat="0">
      <alignment/>
      <protection/>
    </xf>
    <xf numFmtId="37" fontId="39" fillId="15" borderId="3" applyNumberFormat="0">
      <alignment/>
      <protection/>
    </xf>
    <xf numFmtId="37" fontId="39" fillId="15" borderId="3" applyNumberFormat="0">
      <alignment/>
      <protection/>
    </xf>
    <xf numFmtId="37" fontId="3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29" fillId="5" borderId="3" applyNumberFormat="0">
      <alignment/>
      <protection/>
    </xf>
    <xf numFmtId="37" fontId="39" fillId="5" borderId="3" applyNumberFormat="0">
      <alignment/>
      <protection/>
    </xf>
    <xf numFmtId="37" fontId="39" fillId="5" borderId="3" applyNumberFormat="0">
      <alignment/>
      <protection/>
    </xf>
    <xf numFmtId="37" fontId="39" fillId="5" borderId="3" applyNumberFormat="0">
      <alignment/>
      <protection/>
    </xf>
    <xf numFmtId="37" fontId="39" fillId="5" borderId="3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40" fillId="18" borderId="9" applyNumberFormat="0">
      <alignment/>
      <protection/>
    </xf>
    <xf numFmtId="37" fontId="40" fillId="4" borderId="9" applyNumberFormat="0">
      <alignment/>
      <protection/>
    </xf>
    <xf numFmtId="37" fontId="40" fillId="18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40" fillId="18" borderId="9" applyNumberFormat="0">
      <alignment/>
      <protection/>
    </xf>
    <xf numFmtId="37" fontId="41" fillId="4" borderId="9" applyNumberFormat="0">
      <alignment/>
      <protection/>
    </xf>
    <xf numFmtId="37" fontId="41" fillId="4" borderId="9" applyNumberFormat="0">
      <alignment/>
      <protection/>
    </xf>
    <xf numFmtId="37" fontId="41" fillId="4" borderId="9" applyNumberFormat="0">
      <alignment/>
      <protection/>
    </xf>
    <xf numFmtId="37" fontId="40" fillId="18" borderId="9" applyNumberFormat="0">
      <alignment/>
      <protection/>
    </xf>
    <xf numFmtId="37" fontId="40" fillId="18" borderId="9" applyNumberFormat="0">
      <alignment/>
      <protection/>
    </xf>
    <xf numFmtId="37" fontId="40" fillId="18" borderId="9" applyNumberFormat="0">
      <alignment/>
      <protection/>
    </xf>
    <xf numFmtId="37" fontId="40" fillId="18" borderId="9" applyNumberFormat="0">
      <alignment/>
      <protection/>
    </xf>
    <xf numFmtId="37" fontId="40" fillId="18" borderId="9" applyNumberFormat="0">
      <alignment/>
      <protection/>
    </xf>
    <xf numFmtId="37" fontId="41" fillId="4" borderId="9" applyNumberFormat="0">
      <alignment/>
      <protection/>
    </xf>
    <xf numFmtId="37" fontId="41" fillId="4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37" fontId="40" fillId="4" borderId="9" applyNumberFormat="0">
      <alignment/>
      <protection/>
    </xf>
    <xf numFmtId="0" fontId="21" fillId="7" borderId="0" applyNumberFormat="0" applyBorder="0" applyAlignment="0" applyProtection="0"/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1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1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1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1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29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29" fillId="0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33" fillId="1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16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10" applyNumberFormat="0" applyFont="0" applyAlignment="0" applyProtection="0"/>
    <xf numFmtId="0" fontId="33" fillId="4" borderId="10" applyNumberFormat="0" applyFont="0" applyAlignment="0" applyProtection="0"/>
    <xf numFmtId="0" fontId="33" fillId="4" borderId="10" applyNumberFormat="0" applyFont="0" applyAlignment="0" applyProtection="0"/>
    <xf numFmtId="0" fontId="33" fillId="4" borderId="10" applyNumberFormat="0" applyFont="0" applyAlignment="0" applyProtection="0"/>
    <xf numFmtId="0" fontId="33" fillId="4" borderId="10" applyNumberFormat="0" applyFont="0" applyAlignment="0" applyProtection="0"/>
    <xf numFmtId="0" fontId="22" fillId="16" borderId="9" applyNumberFormat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3" fillId="16" borderId="11" applyFont="0" applyFill="0" applyAlignment="0">
      <protection/>
    </xf>
    <xf numFmtId="0" fontId="4" fillId="0" borderId="0">
      <alignment horizontal="left" vertical="center" wrapText="1" indent="2"/>
      <protection locked="0"/>
    </xf>
    <xf numFmtId="0" fontId="1" fillId="0" borderId="0">
      <alignment horizontal="left" vertical="center" wrapText="1" indent="2"/>
      <protection locked="0"/>
    </xf>
    <xf numFmtId="0" fontId="23" fillId="0" borderId="0" applyNumberFormat="0" applyFill="0" applyBorder="0" applyAlignment="0" applyProtection="0"/>
    <xf numFmtId="0" fontId="44" fillId="7" borderId="12">
      <alignment horizontal="center"/>
      <protection/>
    </xf>
    <xf numFmtId="0" fontId="24" fillId="0" borderId="13" applyNumberFormat="0" applyFill="0" applyAlignment="0" applyProtection="0"/>
    <xf numFmtId="0" fontId="3" fillId="19" borderId="0" applyNumberFormat="0" applyFont="0" applyFill="0" applyBorder="0" applyAlignment="0">
      <protection/>
    </xf>
    <xf numFmtId="0" fontId="47" fillId="0" borderId="0" applyNumberFormat="0" applyFont="0" applyBorder="0" applyAlignment="0">
      <protection/>
    </xf>
    <xf numFmtId="0" fontId="20" fillId="0" borderId="0" applyNumberFormat="0" applyFill="0" applyBorder="0" applyAlignment="0" applyProtection="0"/>
  </cellStyleXfs>
  <cellXfs count="168">
    <xf numFmtId="0" fontId="0" fillId="0" borderId="0" xfId="0" applyAlignment="1">
      <alignment/>
    </xf>
    <xf numFmtId="0" fontId="1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3" fillId="16" borderId="0" xfId="0" applyFont="1" applyFill="1" applyAlignment="1">
      <alignment/>
    </xf>
    <xf numFmtId="0" fontId="4" fillId="16" borderId="0" xfId="0" applyFont="1" applyFill="1" applyAlignment="1">
      <alignment/>
    </xf>
    <xf numFmtId="0" fontId="5" fillId="16" borderId="0" xfId="0" applyFont="1" applyFill="1" applyAlignment="1">
      <alignment/>
    </xf>
    <xf numFmtId="0" fontId="6" fillId="16" borderId="0" xfId="0" applyFont="1" applyFill="1" applyAlignment="1">
      <alignment/>
    </xf>
    <xf numFmtId="0" fontId="1" fillId="16" borderId="14" xfId="0" applyFont="1" applyFill="1" applyBorder="1" applyAlignment="1">
      <alignment/>
    </xf>
    <xf numFmtId="42" fontId="1" fillId="16" borderId="14" xfId="0" applyNumberFormat="1" applyFont="1" applyFill="1" applyBorder="1" applyAlignment="1">
      <alignment/>
    </xf>
    <xf numFmtId="0" fontId="1" fillId="16" borderId="15" xfId="0" applyFont="1" applyFill="1" applyBorder="1" applyAlignment="1">
      <alignment/>
    </xf>
    <xf numFmtId="42" fontId="1" fillId="16" borderId="15" xfId="0" applyNumberFormat="1" applyFont="1" applyFill="1" applyBorder="1" applyAlignment="1">
      <alignment/>
    </xf>
    <xf numFmtId="0" fontId="1" fillId="16" borderId="0" xfId="0" applyFont="1" applyFill="1" applyBorder="1" applyAlignment="1">
      <alignment/>
    </xf>
    <xf numFmtId="3" fontId="1" fillId="16" borderId="15" xfId="0" applyNumberFormat="1" applyFont="1" applyFill="1" applyBorder="1" applyAlignment="1">
      <alignment/>
    </xf>
    <xf numFmtId="3" fontId="1" fillId="16" borderId="14" xfId="0" applyNumberFormat="1" applyFont="1" applyFill="1" applyBorder="1" applyAlignment="1">
      <alignment/>
    </xf>
    <xf numFmtId="0" fontId="1" fillId="16" borderId="14" xfId="0" applyFont="1" applyFill="1" applyBorder="1" applyAlignment="1">
      <alignment horizontal="right"/>
    </xf>
    <xf numFmtId="0" fontId="1" fillId="16" borderId="16" xfId="0" applyFont="1" applyFill="1" applyBorder="1" applyAlignment="1">
      <alignment horizontal="right"/>
    </xf>
    <xf numFmtId="0" fontId="25" fillId="16" borderId="0" xfId="0" applyFont="1" applyFill="1" applyAlignment="1">
      <alignment/>
    </xf>
    <xf numFmtId="3" fontId="25" fillId="16" borderId="15" xfId="0" applyNumberFormat="1" applyFont="1" applyFill="1" applyBorder="1" applyAlignment="1">
      <alignment/>
    </xf>
    <xf numFmtId="3" fontId="25" fillId="16" borderId="14" xfId="0" applyNumberFormat="1" applyFont="1" applyFill="1" applyBorder="1" applyAlignment="1">
      <alignment/>
    </xf>
    <xf numFmtId="8" fontId="1" fillId="16" borderId="0" xfId="0" applyNumberFormat="1" applyFont="1" applyFill="1" applyAlignment="1">
      <alignment/>
    </xf>
    <xf numFmtId="0" fontId="26" fillId="16" borderId="0" xfId="0" applyFont="1" applyFill="1" applyAlignment="1">
      <alignment/>
    </xf>
    <xf numFmtId="3" fontId="28" fillId="16" borderId="15" xfId="0" applyNumberFormat="1" applyFont="1" applyFill="1" applyBorder="1" applyAlignment="1">
      <alignment/>
    </xf>
    <xf numFmtId="3" fontId="28" fillId="16" borderId="14" xfId="0" applyNumberFormat="1" applyFont="1" applyFill="1" applyBorder="1" applyAlignment="1">
      <alignment/>
    </xf>
    <xf numFmtId="0" fontId="6" fillId="16" borderId="0" xfId="0" applyFont="1" applyFill="1" applyBorder="1" applyAlignment="1">
      <alignment/>
    </xf>
    <xf numFmtId="0" fontId="5" fillId="16" borderId="0" xfId="0" applyFont="1" applyFill="1" applyBorder="1" applyAlignment="1">
      <alignment/>
    </xf>
    <xf numFmtId="0" fontId="6" fillId="16" borderId="14" xfId="0" applyFont="1" applyFill="1" applyBorder="1" applyAlignment="1">
      <alignment/>
    </xf>
    <xf numFmtId="0" fontId="5" fillId="16" borderId="14" xfId="0" applyFont="1" applyFill="1" applyBorder="1" applyAlignment="1">
      <alignment/>
    </xf>
    <xf numFmtId="0" fontId="6" fillId="16" borderId="16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1" fillId="16" borderId="14" xfId="0" applyFont="1" applyFill="1" applyBorder="1" applyAlignment="1">
      <alignment/>
    </xf>
    <xf numFmtId="0" fontId="26" fillId="16" borderId="0" xfId="0" applyFont="1" applyFill="1" applyAlignment="1">
      <alignment vertical="top"/>
    </xf>
    <xf numFmtId="0" fontId="1" fillId="16" borderId="14" xfId="0" applyFont="1" applyFill="1" applyBorder="1" applyAlignment="1">
      <alignment vertical="top"/>
    </xf>
    <xf numFmtId="0" fontId="5" fillId="16" borderId="14" xfId="0" applyFont="1" applyFill="1" applyBorder="1" applyAlignment="1">
      <alignment/>
    </xf>
    <xf numFmtId="0" fontId="1" fillId="16" borderId="14" xfId="0" applyFont="1" applyFill="1" applyBorder="1" applyAlignment="1">
      <alignment horizontal="left" indent="1"/>
    </xf>
    <xf numFmtId="0" fontId="1" fillId="16" borderId="14" xfId="0" applyFont="1" applyFill="1" applyBorder="1" applyAlignment="1">
      <alignment horizontal="left" indent="2"/>
    </xf>
    <xf numFmtId="9" fontId="1" fillId="16" borderId="14" xfId="0" applyNumberFormat="1" applyFont="1" applyFill="1" applyBorder="1" applyAlignment="1">
      <alignment/>
    </xf>
    <xf numFmtId="9" fontId="27" fillId="16" borderId="14" xfId="0" applyNumberFormat="1" applyFont="1" applyFill="1" applyBorder="1" applyAlignment="1">
      <alignment/>
    </xf>
    <xf numFmtId="9" fontId="1" fillId="16" borderId="15" xfId="0" applyNumberFormat="1" applyFont="1" applyFill="1" applyBorder="1" applyAlignment="1">
      <alignment/>
    </xf>
    <xf numFmtId="0" fontId="1" fillId="16" borderId="0" xfId="0" applyFont="1" applyFill="1" applyBorder="1" applyAlignment="1">
      <alignment horizontal="right"/>
    </xf>
    <xf numFmtId="9" fontId="1" fillId="16" borderId="0" xfId="0" applyNumberFormat="1" applyFont="1" applyFill="1" applyBorder="1" applyAlignment="1">
      <alignment/>
    </xf>
    <xf numFmtId="0" fontId="1" fillId="16" borderId="18" xfId="0" applyFont="1" applyFill="1" applyBorder="1" applyAlignment="1">
      <alignment horizontal="right"/>
    </xf>
    <xf numFmtId="0" fontId="5" fillId="16" borderId="16" xfId="0" applyFont="1" applyFill="1" applyBorder="1" applyAlignment="1">
      <alignment/>
    </xf>
    <xf numFmtId="9" fontId="1" fillId="16" borderId="14" xfId="0" applyNumberFormat="1" applyFont="1" applyFill="1" applyBorder="1" applyAlignment="1">
      <alignment horizontal="right"/>
    </xf>
    <xf numFmtId="2" fontId="1" fillId="16" borderId="0" xfId="0" applyNumberFormat="1" applyFont="1" applyFill="1" applyAlignment="1">
      <alignment horizontal="left" indent="1"/>
    </xf>
    <xf numFmtId="3" fontId="1" fillId="16" borderId="19" xfId="0" applyNumberFormat="1" applyFont="1" applyFill="1" applyBorder="1" applyAlignment="1">
      <alignment/>
    </xf>
    <xf numFmtId="9" fontId="1" fillId="16" borderId="0" xfId="0" applyNumberFormat="1" applyFont="1" applyFill="1" applyAlignment="1">
      <alignment/>
    </xf>
    <xf numFmtId="8" fontId="1" fillId="16" borderId="14" xfId="0" applyNumberFormat="1" applyFont="1" applyFill="1" applyBorder="1" applyAlignment="1">
      <alignment/>
    </xf>
    <xf numFmtId="0" fontId="1" fillId="7" borderId="0" xfId="0" applyFont="1" applyFill="1" applyAlignment="1">
      <alignment/>
    </xf>
    <xf numFmtId="42" fontId="1" fillId="7" borderId="15" xfId="0" applyNumberFormat="1" applyFont="1" applyFill="1" applyBorder="1" applyAlignment="1">
      <alignment/>
    </xf>
    <xf numFmtId="42" fontId="1" fillId="7" borderId="14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7" borderId="14" xfId="0" applyNumberFormat="1" applyFont="1" applyFill="1" applyBorder="1" applyAlignment="1">
      <alignment/>
    </xf>
    <xf numFmtId="3" fontId="1" fillId="16" borderId="0" xfId="0" applyNumberFormat="1" applyFont="1" applyFill="1" applyAlignment="1">
      <alignment/>
    </xf>
    <xf numFmtId="164" fontId="1" fillId="16" borderId="0" xfId="0" applyNumberFormat="1" applyFont="1" applyFill="1" applyAlignment="1">
      <alignment/>
    </xf>
    <xf numFmtId="0" fontId="1" fillId="16" borderId="0" xfId="0" applyFont="1" applyFill="1" applyAlignment="1">
      <alignment horizontal="left" indent="1"/>
    </xf>
    <xf numFmtId="0" fontId="1" fillId="16" borderId="20" xfId="0" applyFont="1" applyFill="1" applyBorder="1" applyAlignment="1">
      <alignment horizontal="centerContinuous"/>
    </xf>
    <xf numFmtId="0" fontId="1" fillId="16" borderId="21" xfId="0" applyFont="1" applyFill="1" applyBorder="1" applyAlignment="1">
      <alignment horizontal="centerContinuous"/>
    </xf>
    <xf numFmtId="0" fontId="6" fillId="16" borderId="22" xfId="0" applyFont="1" applyFill="1" applyBorder="1" applyAlignment="1">
      <alignment horizontal="centerContinuous"/>
    </xf>
    <xf numFmtId="0" fontId="1" fillId="16" borderId="23" xfId="0" applyFont="1" applyFill="1" applyBorder="1" applyAlignment="1">
      <alignment/>
    </xf>
    <xf numFmtId="0" fontId="1" fillId="16" borderId="15" xfId="0" applyFont="1" applyFill="1" applyBorder="1" applyAlignment="1">
      <alignment horizontal="right"/>
    </xf>
    <xf numFmtId="0" fontId="1" fillId="16" borderId="24" xfId="0" applyFont="1" applyFill="1" applyBorder="1" applyAlignment="1">
      <alignment horizontal="right"/>
    </xf>
    <xf numFmtId="0" fontId="46" fillId="16" borderId="0" xfId="0" applyFont="1" applyFill="1" applyBorder="1" applyAlignment="1">
      <alignment/>
    </xf>
    <xf numFmtId="0" fontId="1" fillId="7" borderId="0" xfId="0" applyFont="1" applyFill="1" applyAlignment="1">
      <alignment horizontal="left" indent="1"/>
    </xf>
    <xf numFmtId="3" fontId="28" fillId="16" borderId="24" xfId="0" applyNumberFormat="1" applyFont="1" applyFill="1" applyBorder="1" applyAlignment="1">
      <alignment/>
    </xf>
    <xf numFmtId="0" fontId="1" fillId="16" borderId="0" xfId="0" applyFont="1" applyFill="1" applyAlignment="1">
      <alignment horizontal="right"/>
    </xf>
    <xf numFmtId="0" fontId="1" fillId="16" borderId="14" xfId="0" applyFont="1" applyFill="1" applyBorder="1" applyAlignment="1">
      <alignment horizontal="left"/>
    </xf>
    <xf numFmtId="42" fontId="1" fillId="16" borderId="0" xfId="0" applyNumberFormat="1" applyFont="1" applyFill="1" applyAlignment="1">
      <alignment/>
    </xf>
    <xf numFmtId="0" fontId="1" fillId="19" borderId="25" xfId="0" applyFont="1" applyFill="1" applyBorder="1" applyAlignment="1">
      <alignment horizontal="right"/>
    </xf>
    <xf numFmtId="0" fontId="1" fillId="19" borderId="15" xfId="0" applyFont="1" applyFill="1" applyBorder="1" applyAlignment="1" quotePrefix="1">
      <alignment horizontal="right"/>
    </xf>
    <xf numFmtId="0" fontId="1" fillId="19" borderId="15" xfId="0" applyFont="1" applyFill="1" applyBorder="1" applyAlignment="1">
      <alignment horizontal="right"/>
    </xf>
    <xf numFmtId="3" fontId="1" fillId="19" borderId="15" xfId="0" applyNumberFormat="1" applyFont="1" applyFill="1" applyBorder="1" applyAlignment="1" quotePrefix="1">
      <alignment horizontal="right"/>
    </xf>
    <xf numFmtId="44" fontId="1" fillId="19" borderId="15" xfId="0" applyNumberFormat="1" applyFont="1" applyFill="1" applyBorder="1" applyAlignment="1">
      <alignment horizontal="right"/>
    </xf>
    <xf numFmtId="42" fontId="1" fillId="19" borderId="15" xfId="0" applyNumberFormat="1" applyFont="1" applyFill="1" applyBorder="1" applyAlignment="1" quotePrefix="1">
      <alignment horizontal="right"/>
    </xf>
    <xf numFmtId="0" fontId="5" fillId="16" borderId="0" xfId="0" applyFont="1" applyFill="1" applyBorder="1" applyAlignment="1">
      <alignment/>
    </xf>
    <xf numFmtId="3" fontId="1" fillId="16" borderId="0" xfId="0" applyNumberFormat="1" applyFont="1" applyFill="1" applyBorder="1" applyAlignment="1">
      <alignment/>
    </xf>
    <xf numFmtId="170" fontId="45" fillId="0" borderId="0" xfId="0" applyNumberFormat="1" applyFont="1" applyFill="1" applyAlignment="1">
      <alignment/>
    </xf>
    <xf numFmtId="0" fontId="6" fillId="16" borderId="25" xfId="0" applyFont="1" applyFill="1" applyBorder="1" applyAlignment="1">
      <alignment horizontal="right"/>
    </xf>
    <xf numFmtId="0" fontId="6" fillId="16" borderId="21" xfId="0" applyFont="1" applyFill="1" applyBorder="1" applyAlignment="1">
      <alignment horizontal="right"/>
    </xf>
    <xf numFmtId="0" fontId="1" fillId="16" borderId="0" xfId="0" applyFont="1" applyFill="1" applyAlignment="1">
      <alignment vertical="top"/>
    </xf>
    <xf numFmtId="0" fontId="6" fillId="16" borderId="20" xfId="0" applyFont="1" applyFill="1" applyBorder="1" applyAlignment="1">
      <alignment horizontal="centerContinuous"/>
    </xf>
    <xf numFmtId="0" fontId="6" fillId="16" borderId="21" xfId="0" applyFont="1" applyFill="1" applyBorder="1" applyAlignment="1">
      <alignment horizontal="centerContinuous"/>
    </xf>
    <xf numFmtId="3" fontId="1" fillId="16" borderId="14" xfId="0" applyNumberFormat="1" applyFont="1" applyFill="1" applyBorder="1" applyAlignment="1">
      <alignment horizontal="right"/>
    </xf>
    <xf numFmtId="0" fontId="1" fillId="20" borderId="0" xfId="0" applyFont="1" applyFill="1" applyBorder="1" applyAlignment="1">
      <alignment/>
    </xf>
    <xf numFmtId="3" fontId="1" fillId="20" borderId="0" xfId="0" applyNumberFormat="1" applyFont="1" applyFill="1" applyBorder="1" applyAlignment="1">
      <alignment/>
    </xf>
    <xf numFmtId="3" fontId="53" fillId="16" borderId="15" xfId="0" applyNumberFormat="1" applyFont="1" applyFill="1" applyBorder="1" applyAlignment="1">
      <alignment horizontal="right"/>
    </xf>
    <xf numFmtId="3" fontId="53" fillId="16" borderId="14" xfId="0" applyNumberFormat="1" applyFont="1" applyFill="1" applyBorder="1" applyAlignment="1">
      <alignment horizontal="right"/>
    </xf>
    <xf numFmtId="8" fontId="1" fillId="16" borderId="14" xfId="0" applyNumberFormat="1" applyFont="1" applyFill="1" applyBorder="1" applyAlignment="1">
      <alignment horizontal="right"/>
    </xf>
    <xf numFmtId="8" fontId="1" fillId="16" borderId="15" xfId="0" applyNumberFormat="1" applyFont="1" applyFill="1" applyBorder="1" applyAlignment="1">
      <alignment/>
    </xf>
    <xf numFmtId="6" fontId="53" fillId="16" borderId="15" xfId="0" applyNumberFormat="1" applyFont="1" applyFill="1" applyBorder="1" applyAlignment="1">
      <alignment horizontal="right"/>
    </xf>
    <xf numFmtId="6" fontId="53" fillId="16" borderId="14" xfId="0" applyNumberFormat="1" applyFont="1" applyFill="1" applyBorder="1" applyAlignment="1">
      <alignment horizontal="right"/>
    </xf>
    <xf numFmtId="6" fontId="1" fillId="16" borderId="14" xfId="0" applyNumberFormat="1" applyFont="1" applyFill="1" applyBorder="1" applyAlignment="1">
      <alignment horizontal="right"/>
    </xf>
    <xf numFmtId="6" fontId="1" fillId="16" borderId="15" xfId="0" applyNumberFormat="1" applyFont="1" applyFill="1" applyBorder="1" applyAlignment="1">
      <alignment/>
    </xf>
    <xf numFmtId="6" fontId="1" fillId="16" borderId="14" xfId="0" applyNumberFormat="1" applyFont="1" applyFill="1" applyBorder="1" applyAlignment="1">
      <alignment/>
    </xf>
    <xf numFmtId="8" fontId="25" fillId="16" borderId="15" xfId="0" applyNumberFormat="1" applyFont="1" applyFill="1" applyBorder="1" applyAlignment="1">
      <alignment/>
    </xf>
    <xf numFmtId="8" fontId="25" fillId="16" borderId="14" xfId="0" applyNumberFormat="1" applyFont="1" applyFill="1" applyBorder="1" applyAlignment="1">
      <alignment/>
    </xf>
    <xf numFmtId="6" fontId="25" fillId="16" borderId="15" xfId="0" applyNumberFormat="1" applyFont="1" applyFill="1" applyBorder="1" applyAlignment="1">
      <alignment/>
    </xf>
    <xf numFmtId="6" fontId="25" fillId="16" borderId="14" xfId="0" applyNumberFormat="1" applyFont="1" applyFill="1" applyBorder="1" applyAlignment="1">
      <alignment/>
    </xf>
    <xf numFmtId="0" fontId="1" fillId="16" borderId="26" xfId="0" applyFont="1" applyFill="1" applyBorder="1" applyAlignment="1">
      <alignment/>
    </xf>
    <xf numFmtId="3" fontId="53" fillId="16" borderId="27" xfId="0" applyNumberFormat="1" applyFont="1" applyFill="1" applyBorder="1" applyAlignment="1">
      <alignment horizontal="right"/>
    </xf>
    <xf numFmtId="3" fontId="53" fillId="16" borderId="19" xfId="0" applyNumberFormat="1" applyFont="1" applyFill="1" applyBorder="1" applyAlignment="1">
      <alignment horizontal="right"/>
    </xf>
    <xf numFmtId="3" fontId="1" fillId="16" borderId="19" xfId="0" applyNumberFormat="1" applyFont="1" applyFill="1" applyBorder="1" applyAlignment="1">
      <alignment horizontal="right"/>
    </xf>
    <xf numFmtId="9" fontId="1" fillId="16" borderId="19" xfId="0" applyNumberFormat="1" applyFont="1" applyFill="1" applyBorder="1" applyAlignment="1">
      <alignment horizontal="right"/>
    </xf>
    <xf numFmtId="3" fontId="1" fillId="16" borderId="27" xfId="0" applyNumberFormat="1" applyFont="1" applyFill="1" applyBorder="1" applyAlignment="1">
      <alignment/>
    </xf>
    <xf numFmtId="6" fontId="53" fillId="16" borderId="27" xfId="0" applyNumberFormat="1" applyFont="1" applyFill="1" applyBorder="1" applyAlignment="1">
      <alignment horizontal="right"/>
    </xf>
    <xf numFmtId="6" fontId="53" fillId="16" borderId="19" xfId="0" applyNumberFormat="1" applyFont="1" applyFill="1" applyBorder="1" applyAlignment="1">
      <alignment horizontal="right"/>
    </xf>
    <xf numFmtId="6" fontId="1" fillId="16" borderId="19" xfId="0" applyNumberFormat="1" applyFont="1" applyFill="1" applyBorder="1" applyAlignment="1">
      <alignment horizontal="right"/>
    </xf>
    <xf numFmtId="0" fontId="1" fillId="16" borderId="28" xfId="0" applyFont="1" applyFill="1" applyBorder="1" applyAlignment="1">
      <alignment/>
    </xf>
    <xf numFmtId="6" fontId="1" fillId="16" borderId="29" xfId="0" applyNumberFormat="1" applyFont="1" applyFill="1" applyBorder="1" applyAlignment="1">
      <alignment/>
    </xf>
    <xf numFmtId="6" fontId="1" fillId="16" borderId="30" xfId="0" applyNumberFormat="1" applyFont="1" applyFill="1" applyBorder="1" applyAlignment="1">
      <alignment/>
    </xf>
    <xf numFmtId="9" fontId="1" fillId="16" borderId="30" xfId="0" applyNumberFormat="1" applyFont="1" applyFill="1" applyBorder="1" applyAlignment="1">
      <alignment horizontal="right"/>
    </xf>
    <xf numFmtId="8" fontId="1" fillId="16" borderId="19" xfId="0" applyNumberFormat="1" applyFont="1" applyFill="1" applyBorder="1" applyAlignment="1">
      <alignment horizontal="right"/>
    </xf>
    <xf numFmtId="8" fontId="1" fillId="16" borderId="29" xfId="0" applyNumberFormat="1" applyFont="1" applyFill="1" applyBorder="1" applyAlignment="1">
      <alignment/>
    </xf>
    <xf numFmtId="8" fontId="1" fillId="16" borderId="30" xfId="0" applyNumberFormat="1" applyFont="1" applyFill="1" applyBorder="1" applyAlignment="1">
      <alignment/>
    </xf>
    <xf numFmtId="8" fontId="27" fillId="16" borderId="14" xfId="0" applyNumberFormat="1" applyFont="1" applyFill="1" applyBorder="1" applyAlignment="1">
      <alignment/>
    </xf>
    <xf numFmtId="3" fontId="54" fillId="16" borderId="15" xfId="0" applyNumberFormat="1" applyFont="1" applyFill="1" applyBorder="1" applyAlignment="1">
      <alignment horizontal="right"/>
    </xf>
    <xf numFmtId="3" fontId="54" fillId="16" borderId="14" xfId="0" applyNumberFormat="1" applyFont="1" applyFill="1" applyBorder="1" applyAlignment="1">
      <alignment horizontal="right"/>
    </xf>
    <xf numFmtId="3" fontId="54" fillId="16" borderId="27" xfId="0" applyNumberFormat="1" applyFont="1" applyFill="1" applyBorder="1" applyAlignment="1">
      <alignment horizontal="right"/>
    </xf>
    <xf numFmtId="3" fontId="54" fillId="16" borderId="19" xfId="0" applyNumberFormat="1" applyFont="1" applyFill="1" applyBorder="1" applyAlignment="1">
      <alignment horizontal="right"/>
    </xf>
    <xf numFmtId="8" fontId="54" fillId="16" borderId="14" xfId="0" applyNumberFormat="1" applyFont="1" applyFill="1" applyBorder="1" applyAlignment="1">
      <alignment/>
    </xf>
    <xf numFmtId="8" fontId="55" fillId="16" borderId="14" xfId="0" applyNumberFormat="1" applyFont="1" applyFill="1" applyBorder="1" applyAlignment="1">
      <alignment/>
    </xf>
    <xf numFmtId="0" fontId="55" fillId="16" borderId="14" xfId="0" applyFont="1" applyFill="1" applyBorder="1" applyAlignment="1">
      <alignment/>
    </xf>
    <xf numFmtId="9" fontId="27" fillId="20" borderId="14" xfId="0" applyNumberFormat="1" applyFont="1" applyFill="1" applyBorder="1" applyAlignment="1">
      <alignment/>
    </xf>
    <xf numFmtId="44" fontId="1" fillId="16" borderId="0" xfId="0" applyNumberFormat="1" applyFont="1" applyFill="1" applyAlignment="1">
      <alignment/>
    </xf>
    <xf numFmtId="9" fontId="1" fillId="19" borderId="15" xfId="0" applyNumberFormat="1" applyFont="1" applyFill="1" applyBorder="1" applyAlignment="1" quotePrefix="1">
      <alignment horizontal="right"/>
    </xf>
    <xf numFmtId="0" fontId="56" fillId="16" borderId="14" xfId="0" applyFont="1" applyFill="1" applyBorder="1" applyAlignment="1">
      <alignment/>
    </xf>
    <xf numFmtId="10" fontId="27" fillId="16" borderId="14" xfId="0" applyNumberFormat="1" applyFont="1" applyFill="1" applyBorder="1" applyAlignment="1">
      <alignment/>
    </xf>
    <xf numFmtId="0" fontId="1" fillId="16" borderId="0" xfId="0" applyFont="1" applyFill="1" applyBorder="1" applyAlignment="1">
      <alignment horizontal="left" indent="2"/>
    </xf>
    <xf numFmtId="10" fontId="27" fillId="16" borderId="15" xfId="0" applyNumberFormat="1" applyFont="1" applyFill="1" applyBorder="1" applyAlignment="1">
      <alignment/>
    </xf>
    <xf numFmtId="3" fontId="57" fillId="20" borderId="14" xfId="0" applyNumberFormat="1" applyFont="1" applyFill="1" applyBorder="1" applyAlignment="1">
      <alignment/>
    </xf>
    <xf numFmtId="9" fontId="57" fillId="0" borderId="15" xfId="0" applyNumberFormat="1" applyFont="1" applyBorder="1" applyAlignment="1">
      <alignment horizontal="right"/>
    </xf>
    <xf numFmtId="9" fontId="57" fillId="20" borderId="14" xfId="0" applyNumberFormat="1" applyFont="1" applyFill="1" applyBorder="1" applyAlignment="1">
      <alignment/>
    </xf>
    <xf numFmtId="9" fontId="57" fillId="16" borderId="14" xfId="0" applyNumberFormat="1" applyFont="1" applyFill="1" applyBorder="1" applyAlignment="1">
      <alignment/>
    </xf>
    <xf numFmtId="9" fontId="57" fillId="16" borderId="14" xfId="0" applyNumberFormat="1" applyFont="1" applyFill="1" applyBorder="1" applyAlignment="1">
      <alignment horizontal="right"/>
    </xf>
    <xf numFmtId="8" fontId="57" fillId="16" borderId="14" xfId="0" applyNumberFormat="1" applyFont="1" applyFill="1" applyBorder="1" applyAlignment="1">
      <alignment/>
    </xf>
    <xf numFmtId="0" fontId="57" fillId="16" borderId="14" xfId="0" applyFont="1" applyFill="1" applyBorder="1" applyAlignment="1">
      <alignment/>
    </xf>
    <xf numFmtId="0" fontId="6" fillId="16" borderId="21" xfId="0" applyFont="1" applyFill="1" applyBorder="1" applyAlignment="1">
      <alignment horizontal="center" wrapText="1"/>
    </xf>
    <xf numFmtId="42" fontId="1" fillId="16" borderId="15" xfId="0" applyNumberFormat="1" applyFont="1" applyFill="1" applyBorder="1" applyAlignment="1">
      <alignment horizontal="center"/>
    </xf>
    <xf numFmtId="42" fontId="1" fillId="16" borderId="18" xfId="0" applyNumberFormat="1" applyFont="1" applyFill="1" applyBorder="1" applyAlignment="1">
      <alignment horizontal="center"/>
    </xf>
    <xf numFmtId="3" fontId="1" fillId="16" borderId="15" xfId="0" applyNumberFormat="1" applyFont="1" applyFill="1" applyBorder="1" applyAlignment="1">
      <alignment horizontal="right"/>
    </xf>
    <xf numFmtId="9" fontId="1" fillId="20" borderId="14" xfId="0" applyNumberFormat="1" applyFont="1" applyFill="1" applyBorder="1" applyAlignment="1">
      <alignment/>
    </xf>
    <xf numFmtId="0" fontId="1" fillId="16" borderId="25" xfId="0" applyFont="1" applyFill="1" applyBorder="1" applyAlignment="1">
      <alignment/>
    </xf>
    <xf numFmtId="0" fontId="5" fillId="16" borderId="25" xfId="0" applyFont="1" applyFill="1" applyBorder="1" applyAlignment="1">
      <alignment/>
    </xf>
    <xf numFmtId="0" fontId="5" fillId="16" borderId="15" xfId="0" applyFont="1" applyFill="1" applyBorder="1" applyAlignment="1">
      <alignment/>
    </xf>
    <xf numFmtId="0" fontId="1" fillId="16" borderId="25" xfId="0" applyFont="1" applyFill="1" applyBorder="1" applyAlignment="1">
      <alignment horizontal="right"/>
    </xf>
    <xf numFmtId="8" fontId="1" fillId="16" borderId="15" xfId="0" applyNumberFormat="1" applyFont="1" applyFill="1" applyBorder="1" applyAlignment="1">
      <alignment horizontal="right"/>
    </xf>
    <xf numFmtId="8" fontId="1" fillId="16" borderId="27" xfId="0" applyNumberFormat="1" applyFont="1" applyFill="1" applyBorder="1" applyAlignment="1">
      <alignment horizontal="right"/>
    </xf>
    <xf numFmtId="164" fontId="57" fillId="20" borderId="0" xfId="0" applyNumberFormat="1" applyFont="1" applyFill="1" applyBorder="1" applyAlignment="1">
      <alignment horizontal="right"/>
    </xf>
    <xf numFmtId="164" fontId="57" fillId="0" borderId="0" xfId="0" applyNumberFormat="1" applyFont="1" applyAlignment="1">
      <alignment horizontal="right"/>
    </xf>
    <xf numFmtId="0" fontId="6" fillId="16" borderId="15" xfId="0" applyFont="1" applyFill="1" applyBorder="1" applyAlignment="1">
      <alignment horizontal="right"/>
    </xf>
    <xf numFmtId="0" fontId="6" fillId="16" borderId="0" xfId="0" applyFont="1" applyFill="1" applyAlignment="1">
      <alignment horizontal="right"/>
    </xf>
    <xf numFmtId="0" fontId="6" fillId="16" borderId="16" xfId="0" applyFont="1" applyFill="1" applyBorder="1" applyAlignment="1">
      <alignment horizontal="right"/>
    </xf>
    <xf numFmtId="0" fontId="6" fillId="16" borderId="20" xfId="0" applyFont="1" applyFill="1" applyBorder="1" applyAlignment="1">
      <alignment horizontal="right"/>
    </xf>
    <xf numFmtId="8" fontId="1" fillId="16" borderId="0" xfId="0" applyNumberFormat="1" applyFont="1" applyFill="1" applyBorder="1" applyAlignment="1">
      <alignment horizontal="right"/>
    </xf>
    <xf numFmtId="8" fontId="1" fillId="16" borderId="26" xfId="0" applyNumberFormat="1" applyFont="1" applyFill="1" applyBorder="1" applyAlignment="1">
      <alignment horizontal="right"/>
    </xf>
    <xf numFmtId="8" fontId="1" fillId="16" borderId="0" xfId="0" applyNumberFormat="1" applyFont="1" applyFill="1" applyBorder="1" applyAlignment="1">
      <alignment/>
    </xf>
    <xf numFmtId="8" fontId="1" fillId="16" borderId="28" xfId="0" applyNumberFormat="1" applyFont="1" applyFill="1" applyBorder="1" applyAlignment="1">
      <alignment/>
    </xf>
    <xf numFmtId="8" fontId="25" fillId="16" borderId="0" xfId="0" applyNumberFormat="1" applyFont="1" applyFill="1" applyBorder="1" applyAlignment="1">
      <alignment/>
    </xf>
    <xf numFmtId="0" fontId="6" fillId="16" borderId="24" xfId="0" applyFont="1" applyFill="1" applyBorder="1" applyAlignment="1">
      <alignment horizontal="right"/>
    </xf>
    <xf numFmtId="9" fontId="1" fillId="16" borderId="24" xfId="0" applyNumberFormat="1" applyFont="1" applyFill="1" applyBorder="1" applyAlignment="1">
      <alignment horizontal="right"/>
    </xf>
    <xf numFmtId="0" fontId="25" fillId="16" borderId="24" xfId="0" applyFont="1" applyFill="1" applyBorder="1" applyAlignment="1">
      <alignment/>
    </xf>
    <xf numFmtId="9" fontId="25" fillId="16" borderId="15" xfId="0" applyNumberFormat="1" applyFont="1" applyFill="1" applyBorder="1" applyAlignment="1">
      <alignment/>
    </xf>
    <xf numFmtId="0" fontId="6" fillId="16" borderId="23" xfId="0" applyFont="1" applyFill="1" applyBorder="1" applyAlignment="1">
      <alignment horizontal="right"/>
    </xf>
    <xf numFmtId="44" fontId="1" fillId="16" borderId="0" xfId="0" applyNumberFormat="1" applyFont="1" applyFill="1" applyBorder="1" applyAlignment="1">
      <alignment/>
    </xf>
    <xf numFmtId="174" fontId="1" fillId="16" borderId="0" xfId="0" applyNumberFormat="1" applyFont="1" applyFill="1" applyBorder="1" applyAlignment="1">
      <alignment/>
    </xf>
    <xf numFmtId="0" fontId="1" fillId="16" borderId="17" xfId="0" applyFont="1" applyFill="1" applyBorder="1" applyAlignment="1">
      <alignment/>
    </xf>
    <xf numFmtId="164" fontId="54" fillId="16" borderId="0" xfId="0" applyNumberFormat="1" applyFont="1" applyFill="1" applyAlignment="1">
      <alignment/>
    </xf>
    <xf numFmtId="0" fontId="1" fillId="16" borderId="17" xfId="0" applyFont="1" applyFill="1" applyBorder="1" applyAlignment="1">
      <alignment horizontal="left"/>
    </xf>
    <xf numFmtId="0" fontId="50" fillId="16" borderId="0" xfId="0" applyFont="1" applyFill="1" applyAlignment="1">
      <alignment/>
    </xf>
  </cellXfs>
  <cellStyles count="58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10" xfId="45"/>
    <cellStyle name="Comma 2 11" xfId="46"/>
    <cellStyle name="Comma 2 12" xfId="47"/>
    <cellStyle name="Comma 2 13" xfId="48"/>
    <cellStyle name="Comma 2 14" xfId="49"/>
    <cellStyle name="Comma 2 15" xfId="50"/>
    <cellStyle name="Comma 2 16" xfId="51"/>
    <cellStyle name="Comma 2 17" xfId="52"/>
    <cellStyle name="Comma 2 18" xfId="53"/>
    <cellStyle name="Comma 2 19" xfId="54"/>
    <cellStyle name="Comma 2 2" xfId="55"/>
    <cellStyle name="Comma 2 20" xfId="56"/>
    <cellStyle name="Comma 2 21" xfId="57"/>
    <cellStyle name="Comma 2 22" xfId="58"/>
    <cellStyle name="Comma 2 3" xfId="59"/>
    <cellStyle name="Comma 2 4" xfId="60"/>
    <cellStyle name="Comma 2 5" xfId="61"/>
    <cellStyle name="Comma 2 6" xfId="62"/>
    <cellStyle name="Comma 2 7" xfId="63"/>
    <cellStyle name="Comma 2 8" xfId="64"/>
    <cellStyle name="Comma 2 9" xfId="65"/>
    <cellStyle name="Comma 2_Digital Lockbox V11 12.23.10" xfId="66"/>
    <cellStyle name="Comma 3" xfId="67"/>
    <cellStyle name="Comma 4" xfId="68"/>
    <cellStyle name="Comma 5" xfId="69"/>
    <cellStyle name="Comma 5 2" xfId="70"/>
    <cellStyle name="Comma 5 3" xfId="71"/>
    <cellStyle name="Copyright_xlr8r" xfId="72"/>
    <cellStyle name="Currency" xfId="73"/>
    <cellStyle name="Currency [0]" xfId="74"/>
    <cellStyle name="Currency 2" xfId="75"/>
    <cellStyle name="Currency 2 10" xfId="76"/>
    <cellStyle name="Currency 2 11" xfId="77"/>
    <cellStyle name="Currency 2 12" xfId="78"/>
    <cellStyle name="Currency 2 13" xfId="79"/>
    <cellStyle name="Currency 2 14" xfId="80"/>
    <cellStyle name="Currency 2 15" xfId="81"/>
    <cellStyle name="Currency 2 16" xfId="82"/>
    <cellStyle name="Currency 2 17" xfId="83"/>
    <cellStyle name="Currency 2 18" xfId="84"/>
    <cellStyle name="Currency 2 19" xfId="85"/>
    <cellStyle name="Currency 2 2" xfId="86"/>
    <cellStyle name="Currency 2 20" xfId="87"/>
    <cellStyle name="Currency 2 21" xfId="88"/>
    <cellStyle name="Currency 2 22" xfId="89"/>
    <cellStyle name="Currency 2 3" xfId="90"/>
    <cellStyle name="Currency 2 4" xfId="91"/>
    <cellStyle name="Currency 2 5" xfId="92"/>
    <cellStyle name="Currency 2 6" xfId="93"/>
    <cellStyle name="Currency 2 7" xfId="94"/>
    <cellStyle name="Currency 2 8" xfId="95"/>
    <cellStyle name="Currency 2 9" xfId="96"/>
    <cellStyle name="Currency 2_Digital Lockbox V11 12.23.10" xfId="97"/>
    <cellStyle name="Currency 3" xfId="98"/>
    <cellStyle name="Currency 3 2" xfId="99"/>
    <cellStyle name="Currency 3_Digital Lockbox V11 12.23.10" xfId="100"/>
    <cellStyle name="Data" xfId="101"/>
    <cellStyle name="Explanatory Text" xfId="102"/>
    <cellStyle name="Explanatory Text 10" xfId="103"/>
    <cellStyle name="Explanatory Text 11" xfId="104"/>
    <cellStyle name="Explanatory Text 12" xfId="105"/>
    <cellStyle name="Explanatory Text 13" xfId="106"/>
    <cellStyle name="Explanatory Text 14" xfId="107"/>
    <cellStyle name="Explanatory Text 15" xfId="108"/>
    <cellStyle name="Explanatory Text 16" xfId="109"/>
    <cellStyle name="Explanatory Text 17" xfId="110"/>
    <cellStyle name="Explanatory Text 18" xfId="111"/>
    <cellStyle name="Explanatory Text 19" xfId="112"/>
    <cellStyle name="Explanatory Text 2" xfId="113"/>
    <cellStyle name="Explanatory Text 2 2" xfId="114"/>
    <cellStyle name="Explanatory Text 2 3" xfId="115"/>
    <cellStyle name="Explanatory Text 20" xfId="116"/>
    <cellStyle name="Explanatory Text 21" xfId="117"/>
    <cellStyle name="Explanatory Text 22" xfId="118"/>
    <cellStyle name="Explanatory Text 3" xfId="119"/>
    <cellStyle name="Explanatory Text 3 2" xfId="120"/>
    <cellStyle name="Explanatory Text 3 3" xfId="121"/>
    <cellStyle name="Explanatory Text 4" xfId="122"/>
    <cellStyle name="Explanatory Text 4 2" xfId="123"/>
    <cellStyle name="Explanatory Text 4 3" xfId="124"/>
    <cellStyle name="Explanatory Text 5" xfId="125"/>
    <cellStyle name="Explanatory Text 5 2" xfId="126"/>
    <cellStyle name="Explanatory Text 5 3" xfId="127"/>
    <cellStyle name="Explanatory Text 6" xfId="128"/>
    <cellStyle name="Explanatory Text 7" xfId="129"/>
    <cellStyle name="Explanatory Text 8" xfId="130"/>
    <cellStyle name="Explanatory Text 9" xfId="131"/>
    <cellStyle name="Followed Hyperlink" xfId="132"/>
    <cellStyle name="Good" xfId="133"/>
    <cellStyle name="Grid" xfId="134"/>
    <cellStyle name="Grid 10" xfId="135"/>
    <cellStyle name="Grid 11" xfId="136"/>
    <cellStyle name="Grid 12" xfId="137"/>
    <cellStyle name="Grid 13" xfId="138"/>
    <cellStyle name="Grid 14" xfId="139"/>
    <cellStyle name="Grid 15" xfId="140"/>
    <cellStyle name="Grid 16" xfId="141"/>
    <cellStyle name="Grid 17" xfId="142"/>
    <cellStyle name="Grid 18" xfId="143"/>
    <cellStyle name="Grid 19" xfId="144"/>
    <cellStyle name="Grid 2" xfId="145"/>
    <cellStyle name="Grid 20" xfId="146"/>
    <cellStyle name="Grid 21" xfId="147"/>
    <cellStyle name="Grid 22" xfId="148"/>
    <cellStyle name="Grid 23" xfId="149"/>
    <cellStyle name="Grid 24" xfId="150"/>
    <cellStyle name="Grid 25" xfId="151"/>
    <cellStyle name="Grid 26" xfId="152"/>
    <cellStyle name="Grid 27" xfId="153"/>
    <cellStyle name="Grid 28" xfId="154"/>
    <cellStyle name="Grid 29" xfId="155"/>
    <cellStyle name="Grid 3" xfId="156"/>
    <cellStyle name="Grid 30" xfId="157"/>
    <cellStyle name="Grid 31" xfId="158"/>
    <cellStyle name="Grid 32" xfId="159"/>
    <cellStyle name="Grid 33" xfId="160"/>
    <cellStyle name="Grid 34" xfId="161"/>
    <cellStyle name="Grid 35" xfId="162"/>
    <cellStyle name="Grid 36" xfId="163"/>
    <cellStyle name="Grid 37" xfId="164"/>
    <cellStyle name="Grid 38" xfId="165"/>
    <cellStyle name="Grid 39" xfId="166"/>
    <cellStyle name="Grid 4" xfId="167"/>
    <cellStyle name="Grid 40" xfId="168"/>
    <cellStyle name="Grid 41" xfId="169"/>
    <cellStyle name="Grid 42" xfId="170"/>
    <cellStyle name="Grid 43" xfId="171"/>
    <cellStyle name="Grid 44" xfId="172"/>
    <cellStyle name="Grid 45" xfId="173"/>
    <cellStyle name="Grid 46" xfId="174"/>
    <cellStyle name="Grid 47" xfId="175"/>
    <cellStyle name="Grid 48" xfId="176"/>
    <cellStyle name="Grid 49" xfId="177"/>
    <cellStyle name="Grid 5" xfId="178"/>
    <cellStyle name="Grid 50" xfId="179"/>
    <cellStyle name="Grid 51" xfId="180"/>
    <cellStyle name="Grid 52" xfId="181"/>
    <cellStyle name="Grid 53" xfId="182"/>
    <cellStyle name="Grid 54" xfId="183"/>
    <cellStyle name="Grid 55" xfId="184"/>
    <cellStyle name="Grid 56" xfId="185"/>
    <cellStyle name="Grid 57" xfId="186"/>
    <cellStyle name="Grid 58" xfId="187"/>
    <cellStyle name="Grid 59" xfId="188"/>
    <cellStyle name="Grid 6" xfId="189"/>
    <cellStyle name="Grid 60" xfId="190"/>
    <cellStyle name="Grid 61" xfId="191"/>
    <cellStyle name="Grid 62" xfId="192"/>
    <cellStyle name="Grid 63" xfId="193"/>
    <cellStyle name="Grid 64" xfId="194"/>
    <cellStyle name="Grid 65" xfId="195"/>
    <cellStyle name="Grid 66" xfId="196"/>
    <cellStyle name="Grid 67" xfId="197"/>
    <cellStyle name="Grid 68" xfId="198"/>
    <cellStyle name="Grid 69" xfId="199"/>
    <cellStyle name="Grid 7" xfId="200"/>
    <cellStyle name="Grid 70" xfId="201"/>
    <cellStyle name="Grid 71" xfId="202"/>
    <cellStyle name="Grid 72" xfId="203"/>
    <cellStyle name="Grid 73" xfId="204"/>
    <cellStyle name="Grid 74" xfId="205"/>
    <cellStyle name="Grid 75" xfId="206"/>
    <cellStyle name="Grid 76" xfId="207"/>
    <cellStyle name="Grid 77" xfId="208"/>
    <cellStyle name="Grid 78" xfId="209"/>
    <cellStyle name="Grid 79" xfId="210"/>
    <cellStyle name="Grid 8" xfId="211"/>
    <cellStyle name="Grid 80" xfId="212"/>
    <cellStyle name="Grid 81" xfId="213"/>
    <cellStyle name="Grid 82" xfId="214"/>
    <cellStyle name="Grid 83" xfId="215"/>
    <cellStyle name="Grid 84" xfId="216"/>
    <cellStyle name="Grid 85" xfId="217"/>
    <cellStyle name="Grid 86" xfId="218"/>
    <cellStyle name="Grid 87" xfId="219"/>
    <cellStyle name="Grid 88" xfId="220"/>
    <cellStyle name="Grid 89" xfId="221"/>
    <cellStyle name="Grid 9" xfId="222"/>
    <cellStyle name="Grid 90" xfId="223"/>
    <cellStyle name="Grid 91" xfId="224"/>
    <cellStyle name="Grid 92" xfId="225"/>
    <cellStyle name="Grid 93" xfId="226"/>
    <cellStyle name="Grid 94" xfId="227"/>
    <cellStyle name="Grid 95" xfId="228"/>
    <cellStyle name="Grid 96" xfId="229"/>
    <cellStyle name="Grid 97" xfId="230"/>
    <cellStyle name="Grid 98" xfId="231"/>
    <cellStyle name="Grid 99" xfId="232"/>
    <cellStyle name="Grid_100128 Initiative model RHB" xfId="233"/>
    <cellStyle name="Heading 1" xfId="234"/>
    <cellStyle name="Heading 2" xfId="235"/>
    <cellStyle name="Heading 2 2" xfId="236"/>
    <cellStyle name="Heading 3" xfId="237"/>
    <cellStyle name="Heading 3 2" xfId="238"/>
    <cellStyle name="Heading 4" xfId="239"/>
    <cellStyle name="Hyperlink" xfId="240"/>
    <cellStyle name="Index_entry_xlr8r" xfId="241"/>
    <cellStyle name="Input" xfId="242"/>
    <cellStyle name="Input 10" xfId="243"/>
    <cellStyle name="Input 11" xfId="244"/>
    <cellStyle name="Input 12" xfId="245"/>
    <cellStyle name="Input 13" xfId="246"/>
    <cellStyle name="Input 14" xfId="247"/>
    <cellStyle name="Input 15" xfId="248"/>
    <cellStyle name="Input 16" xfId="249"/>
    <cellStyle name="Input 17" xfId="250"/>
    <cellStyle name="Input 18" xfId="251"/>
    <cellStyle name="Input 19" xfId="252"/>
    <cellStyle name="Input 2" xfId="253"/>
    <cellStyle name="Input 2 10" xfId="254"/>
    <cellStyle name="Input 2 11" xfId="255"/>
    <cellStyle name="Input 2 12" xfId="256"/>
    <cellStyle name="Input 2 13" xfId="257"/>
    <cellStyle name="Input 2 14" xfId="258"/>
    <cellStyle name="Input 2 15" xfId="259"/>
    <cellStyle name="Input 2 16" xfId="260"/>
    <cellStyle name="Input 2 17" xfId="261"/>
    <cellStyle name="Input 2 18" xfId="262"/>
    <cellStyle name="Input 2 19" xfId="263"/>
    <cellStyle name="Input 2 2" xfId="264"/>
    <cellStyle name="Input 2 20" xfId="265"/>
    <cellStyle name="Input 2 21" xfId="266"/>
    <cellStyle name="Input 2 22" xfId="267"/>
    <cellStyle name="Input 2 3" xfId="268"/>
    <cellStyle name="Input 2 4" xfId="269"/>
    <cellStyle name="Input 2 5" xfId="270"/>
    <cellStyle name="Input 2 6" xfId="271"/>
    <cellStyle name="Input 2 7" xfId="272"/>
    <cellStyle name="Input 2 8" xfId="273"/>
    <cellStyle name="Input 2 9" xfId="274"/>
    <cellStyle name="Input 2_2010.01.10 Initiative model v3 PAYGO adjustment" xfId="275"/>
    <cellStyle name="Input 20" xfId="276"/>
    <cellStyle name="Input 21" xfId="277"/>
    <cellStyle name="Input 22" xfId="278"/>
    <cellStyle name="Input 3" xfId="279"/>
    <cellStyle name="Input 3 2" xfId="280"/>
    <cellStyle name="Input 3 3" xfId="281"/>
    <cellStyle name="Input 3_2010.01.10 Initiative model v3 PAYGO adjustment" xfId="282"/>
    <cellStyle name="Input 4" xfId="283"/>
    <cellStyle name="Input 4 2" xfId="284"/>
    <cellStyle name="Input 4 3" xfId="285"/>
    <cellStyle name="Input 4_2010.01.10 Initiative model v3 PAYGO adjustment" xfId="286"/>
    <cellStyle name="Input 5" xfId="287"/>
    <cellStyle name="Input 5 2" xfId="288"/>
    <cellStyle name="Input 5 3" xfId="289"/>
    <cellStyle name="Input 5_2010.01.10 Initiative model v3 PAYGO adjustment" xfId="290"/>
    <cellStyle name="Input 6" xfId="291"/>
    <cellStyle name="Input 7" xfId="292"/>
    <cellStyle name="Input 8" xfId="293"/>
    <cellStyle name="Linked Cell" xfId="294"/>
    <cellStyle name="M_Link" xfId="295"/>
    <cellStyle name="M_Link_100128 Initiative model RHB" xfId="296"/>
    <cellStyle name="M_Link_100226 Model with Mkting Volume" xfId="297"/>
    <cellStyle name="M_Link_100402 BP Model" xfId="298"/>
    <cellStyle name="M_Link_100405 BP Model CSRS only_$7B fcst_Price Increase Q2" xfId="299"/>
    <cellStyle name="M_Link_100413 BP Model_New Indices" xfId="300"/>
    <cellStyle name="M_Link_100420 BP Model April Rebamp" xfId="301"/>
    <cellStyle name="M_Link_2010.01.10 Initiative model v3 PAYGO adjustment" xfId="302"/>
    <cellStyle name="M_Link_2010.01.13 Initiative model v3" xfId="303"/>
    <cellStyle name="M_Link_2010.01.13 Initiative model vX7" xfId="304"/>
    <cellStyle name="M_Link_2010.01.15 Initiative model v3" xfId="305"/>
    <cellStyle name="M_Link_2010.01.18 Initiative model v10" xfId="306"/>
    <cellStyle name="M_Link_2010.01.18 Initiative model v12" xfId="307"/>
    <cellStyle name="M_Link_2010.01.18 Initiative model v3" xfId="308"/>
    <cellStyle name="M_Link_2010.01.18 Initiative model v4" xfId="309"/>
    <cellStyle name="M_Link_2010.01.18 Initiative model v5" xfId="310"/>
    <cellStyle name="M_Link_2010.01.18 Initiative model v6" xfId="311"/>
    <cellStyle name="M_Link_2010.01.20 Initiative model vF2" xfId="312"/>
    <cellStyle name="M_Link_2010.01.24 Initiative model vF" xfId="313"/>
    <cellStyle name="M_Link_Base Model Feeder v1" xfId="314"/>
    <cellStyle name="M_Link_Chart Output" xfId="315"/>
    <cellStyle name="M_Link_Chart Output -- AS" xfId="316"/>
    <cellStyle name="M_Link_Chart Output -- AS_100128 Initiative model RHB" xfId="317"/>
    <cellStyle name="M_Link_Chart Output -- AS_100226 Model with Mkting Volume" xfId="318"/>
    <cellStyle name="M_Link_Chart Output -- AS_100402 BP Model" xfId="319"/>
    <cellStyle name="M_Link_Chart Output -- AS_100405 BP Model CSRS only_$7B fcst_Price Increase Q2" xfId="320"/>
    <cellStyle name="M_Link_Chart Output -- AS_100413 BP Model_New Indices" xfId="321"/>
    <cellStyle name="M_Link_Chart Output -- AS_100420 BP Model April Rebamp" xfId="322"/>
    <cellStyle name="M_Link_Chart Output -- AS_2010.01.10 Initiative model v3 PAYGO adjustment" xfId="323"/>
    <cellStyle name="M_Link_Chart Output -- AS_2010.01.13 Initiative model v3" xfId="324"/>
    <cellStyle name="M_Link_Chart Output -- AS_2010.01.13 Initiative model vX7" xfId="325"/>
    <cellStyle name="M_Link_Chart Output -- AS_2010.01.15 Initiative model v3" xfId="326"/>
    <cellStyle name="M_Link_Chart Output -- AS_2010.01.18 Initiative model v10" xfId="327"/>
    <cellStyle name="M_Link_Chart Output -- AS_2010.01.18 Initiative model v12" xfId="328"/>
    <cellStyle name="M_Link_Chart Output -- AS_2010.01.18 Initiative model v3" xfId="329"/>
    <cellStyle name="M_Link_Chart Output -- AS_2010.01.18 Initiative model v4" xfId="330"/>
    <cellStyle name="M_Link_Chart Output -- AS_2010.01.18 Initiative model v5" xfId="331"/>
    <cellStyle name="M_Link_Chart Output -- AS_2010.01.18 Initiative model v6" xfId="332"/>
    <cellStyle name="M_Link_Chart Output -- AS_2010.01.20 Initiative model vF2" xfId="333"/>
    <cellStyle name="M_Link_Chart Output -- AS_2010.01.24 Initiative model vF" xfId="334"/>
    <cellStyle name="M_Link_Chart Output -- AS_Base Model Feeder v1" xfId="335"/>
    <cellStyle name="M_Link_Chart Output -- AS_Initiative dashboard" xfId="336"/>
    <cellStyle name="M_Link_Chart Output -- AS_L4" xfId="337"/>
    <cellStyle name="M_Link_Chart Output -- AS_R2" xfId="338"/>
    <cellStyle name="M_Link_Chart Output -- AS_S3" xfId="339"/>
    <cellStyle name="M_Link_Chart Output -- AS_S4" xfId="340"/>
    <cellStyle name="M_Link_Chart Output -- AS_USPS Strategic Base model" xfId="341"/>
    <cellStyle name="M_Link_Chart Output -- AS_USPS Strategic Base model HANDOFF" xfId="342"/>
    <cellStyle name="M_Link_Chart Output -- AS_USPS Strategic Base model v12" xfId="343"/>
    <cellStyle name="M_Link_Chart Output -- AS_USPS Strategic Base model v4" xfId="344"/>
    <cellStyle name="M_Link_Chart Output_100128 Initiative model RHB" xfId="345"/>
    <cellStyle name="M_Link_Chart Output_100226 Model with Mkting Volume" xfId="346"/>
    <cellStyle name="M_Link_Chart Output_100402 BP Model" xfId="347"/>
    <cellStyle name="M_Link_Chart Output_100405 BP Model CSRS only_$7B fcst_Price Increase Q2" xfId="348"/>
    <cellStyle name="M_Link_Chart Output_100413 BP Model_New Indices" xfId="349"/>
    <cellStyle name="M_Link_Chart Output_100420 BP Model April Rebamp" xfId="350"/>
    <cellStyle name="M_Link_Chart Output_2010.01.10 Initiative model v3 PAYGO adjustment" xfId="351"/>
    <cellStyle name="M_Link_Chart Output_2010.01.13 Initiative model v3" xfId="352"/>
    <cellStyle name="M_Link_Chart Output_2010.01.13 Initiative model vX7" xfId="353"/>
    <cellStyle name="M_Link_Chart Output_2010.01.15 Initiative model v3" xfId="354"/>
    <cellStyle name="M_Link_Chart Output_2010.01.18 Initiative model v10" xfId="355"/>
    <cellStyle name="M_Link_Chart Output_2010.01.18 Initiative model v12" xfId="356"/>
    <cellStyle name="M_Link_Chart Output_2010.01.18 Initiative model v3" xfId="357"/>
    <cellStyle name="M_Link_Chart Output_2010.01.18 Initiative model v4" xfId="358"/>
    <cellStyle name="M_Link_Chart Output_2010.01.18 Initiative model v5" xfId="359"/>
    <cellStyle name="M_Link_Chart Output_2010.01.18 Initiative model v6" xfId="360"/>
    <cellStyle name="M_Link_Chart Output_2010.01.20 Initiative model vF2" xfId="361"/>
    <cellStyle name="M_Link_Chart Output_2010.01.24 Initiative model vF" xfId="362"/>
    <cellStyle name="M_Link_Chart Output_Base Model Feeder v1" xfId="363"/>
    <cellStyle name="M_Link_Chart Output_Initiative dashboard" xfId="364"/>
    <cellStyle name="M_Link_Chart Output_L4" xfId="365"/>
    <cellStyle name="M_Link_Chart Output_R2" xfId="366"/>
    <cellStyle name="M_Link_Chart Output_S3" xfId="367"/>
    <cellStyle name="M_Link_Chart Output_S4" xfId="368"/>
    <cellStyle name="M_Link_Chart Output_USPS Financial Forecast Model (Formatted)" xfId="369"/>
    <cellStyle name="M_Link_Chart Output_USPS Financial Forecast Model (Formatted)_100128 Initiative model RHB" xfId="370"/>
    <cellStyle name="M_Link_Chart Output_USPS Financial Forecast Model (Formatted)_100226 Model with Mkting Volume" xfId="371"/>
    <cellStyle name="M_Link_Chart Output_USPS Financial Forecast Model (Formatted)_100402 BP Model" xfId="372"/>
    <cellStyle name="M_Link_Chart Output_USPS Financial Forecast Model (Formatted)_100405 BP Model CSRS only_$7B fcst_Price Increase Q2" xfId="373"/>
    <cellStyle name="M_Link_Chart Output_USPS Financial Forecast Model (Formatted)_100413 BP Model_New Indices" xfId="374"/>
    <cellStyle name="M_Link_Chart Output_USPS Financial Forecast Model (Formatted)_100420 BP Model April Rebamp" xfId="375"/>
    <cellStyle name="M_Link_Chart Output_USPS Financial Forecast Model (Formatted)_2010.01.10 Initiative model v3 PAYGO adjustment" xfId="376"/>
    <cellStyle name="M_Link_Chart Output_USPS Financial Forecast Model (Formatted)_2010.01.13 Initiative model v3" xfId="377"/>
    <cellStyle name="M_Link_Chart Output_USPS Financial Forecast Model (Formatted)_2010.01.13 Initiative model vX7" xfId="378"/>
    <cellStyle name="M_Link_Chart Output_USPS Financial Forecast Model (Formatted)_2010.01.15 Initiative model v3" xfId="379"/>
    <cellStyle name="M_Link_Chart Output_USPS Financial Forecast Model (Formatted)_2010.01.18 Initiative model v10" xfId="380"/>
    <cellStyle name="M_Link_Chart Output_USPS Financial Forecast Model (Formatted)_2010.01.18 Initiative model v12" xfId="381"/>
    <cellStyle name="M_Link_Chart Output_USPS Financial Forecast Model (Formatted)_2010.01.18 Initiative model v3" xfId="382"/>
    <cellStyle name="M_Link_Chart Output_USPS Financial Forecast Model (Formatted)_2010.01.18 Initiative model v4" xfId="383"/>
    <cellStyle name="M_Link_Chart Output_USPS Financial Forecast Model (Formatted)_2010.01.18 Initiative model v5" xfId="384"/>
    <cellStyle name="M_Link_Chart Output_USPS Financial Forecast Model (Formatted)_2010.01.18 Initiative model v6" xfId="385"/>
    <cellStyle name="M_Link_Chart Output_USPS Financial Forecast Model (Formatted)_2010.01.20 Initiative model vF2" xfId="386"/>
    <cellStyle name="M_Link_Chart Output_USPS Financial Forecast Model (Formatted)_2010.01.24 Initiative model vF" xfId="387"/>
    <cellStyle name="M_Link_Chart Output_USPS Financial Forecast Model (Formatted)_Base Model Feeder v1" xfId="388"/>
    <cellStyle name="M_Link_Chart Output_USPS Financial Forecast Model (Formatted)_Initiative dashboard" xfId="389"/>
    <cellStyle name="M_Link_Chart Output_USPS Financial Forecast Model (Formatted)_L4" xfId="390"/>
    <cellStyle name="M_Link_Chart Output_USPS Financial Forecast Model (Formatted)_R2" xfId="391"/>
    <cellStyle name="M_Link_Chart Output_USPS Financial Forecast Model (Formatted)_S3" xfId="392"/>
    <cellStyle name="M_Link_Chart Output_USPS Financial Forecast Model (Formatted)_S4" xfId="393"/>
    <cellStyle name="M_Link_Chart Output_USPS Financial Forecast Model (Formatted)_USPS Strategic Base model" xfId="394"/>
    <cellStyle name="M_Link_Chart Output_USPS Financial Forecast Model (Formatted)_USPS Strategic Base model HANDOFF" xfId="395"/>
    <cellStyle name="M_Link_Chart Output_USPS Financial Forecast Model (Formatted)_USPS Strategic Base model v12" xfId="396"/>
    <cellStyle name="M_Link_Chart Output_USPS Financial Forecast Model (Formatted)_USPS Strategic Base model v4" xfId="397"/>
    <cellStyle name="M_Link_Chart Output_USPS Strategic Base model" xfId="398"/>
    <cellStyle name="M_Link_Chart Output_USPS Strategic Base model HANDOFF" xfId="399"/>
    <cellStyle name="M_Link_Chart Output_USPS Strategic Base model v12" xfId="400"/>
    <cellStyle name="M_Link_Chart Output_USPS Strategic Base model v4" xfId="401"/>
    <cellStyle name="M_Link_Initiative dashboard" xfId="402"/>
    <cellStyle name="M_Link_L4" xfId="403"/>
    <cellStyle name="M_Link_R2" xfId="404"/>
    <cellStyle name="M_Link_S3" xfId="405"/>
    <cellStyle name="M_Link_S4" xfId="406"/>
    <cellStyle name="M_Link_Sheet1" xfId="407"/>
    <cellStyle name="M_Link_USPS Financial Forecast Model (Formatted)" xfId="408"/>
    <cellStyle name="M_Link_USPS Financial Forecast Model (Formatted)_100128 Initiative model RHB" xfId="409"/>
    <cellStyle name="M_Link_USPS Financial Forecast Model (Formatted)_100226 Model with Mkting Volume" xfId="410"/>
    <cellStyle name="M_Link_USPS Financial Forecast Model (Formatted)_100402 BP Model" xfId="411"/>
    <cellStyle name="M_Link_USPS Financial Forecast Model (Formatted)_100405 BP Model CSRS only_$7B fcst_Price Increase Q2" xfId="412"/>
    <cellStyle name="M_Link_USPS Financial Forecast Model (Formatted)_100413 BP Model_New Indices" xfId="413"/>
    <cellStyle name="M_Link_USPS Financial Forecast Model (Formatted)_100420 BP Model April Rebamp" xfId="414"/>
    <cellStyle name="M_Link_USPS Financial Forecast Model (Formatted)_2010.01.10 Initiative model v3 PAYGO adjustment" xfId="415"/>
    <cellStyle name="M_Link_USPS Financial Forecast Model (Formatted)_2010.01.13 Initiative model v3" xfId="416"/>
    <cellStyle name="M_Link_USPS Financial Forecast Model (Formatted)_2010.01.13 Initiative model vX7" xfId="417"/>
    <cellStyle name="M_Link_USPS Financial Forecast Model (Formatted)_2010.01.15 Initiative model v3" xfId="418"/>
    <cellStyle name="M_Link_USPS Financial Forecast Model (Formatted)_2010.01.18 Initiative model v10" xfId="419"/>
    <cellStyle name="M_Link_USPS Financial Forecast Model (Formatted)_2010.01.18 Initiative model v12" xfId="420"/>
    <cellStyle name="M_Link_USPS Financial Forecast Model (Formatted)_2010.01.18 Initiative model v3" xfId="421"/>
    <cellStyle name="M_Link_USPS Financial Forecast Model (Formatted)_2010.01.18 Initiative model v4" xfId="422"/>
    <cellStyle name="M_Link_USPS Financial Forecast Model (Formatted)_2010.01.18 Initiative model v5" xfId="423"/>
    <cellStyle name="M_Link_USPS Financial Forecast Model (Formatted)_2010.01.18 Initiative model v6" xfId="424"/>
    <cellStyle name="M_Link_USPS Financial Forecast Model (Formatted)_2010.01.20 Initiative model vF2" xfId="425"/>
    <cellStyle name="M_Link_USPS Financial Forecast Model (Formatted)_2010.01.24 Initiative model vF" xfId="426"/>
    <cellStyle name="M_Link_USPS Financial Forecast Model (Formatted)_Base Model Feeder v1" xfId="427"/>
    <cellStyle name="M_Link_USPS Financial Forecast Model (Formatted)_Initiative dashboard" xfId="428"/>
    <cellStyle name="M_Link_USPS Financial Forecast Model (Formatted)_L4" xfId="429"/>
    <cellStyle name="M_Link_USPS Financial Forecast Model (Formatted)_R2" xfId="430"/>
    <cellStyle name="M_Link_USPS Financial Forecast Model (Formatted)_S3" xfId="431"/>
    <cellStyle name="M_Link_USPS Financial Forecast Model (Formatted)_S4" xfId="432"/>
    <cellStyle name="M_Link_USPS Financial Forecast Model (Formatted)_USPS Strategic Base model" xfId="433"/>
    <cellStyle name="M_Link_USPS Financial Forecast Model (Formatted)_USPS Strategic Base model HANDOFF" xfId="434"/>
    <cellStyle name="M_Link_USPS Financial Forecast Model (Formatted)_USPS Strategic Base model v12" xfId="435"/>
    <cellStyle name="M_Link_USPS Financial Forecast Model (Formatted)_USPS Strategic Base model v4" xfId="436"/>
    <cellStyle name="M_Link_USPS Strategic Base model" xfId="437"/>
    <cellStyle name="M_Link_USPS Strategic Base model HANDOFF" xfId="438"/>
    <cellStyle name="M_Link_USPS Strategic Base model v12" xfId="439"/>
    <cellStyle name="M_Link_USPS Strategic Base model v4" xfId="440"/>
    <cellStyle name="M_Output" xfId="441"/>
    <cellStyle name="M_Output_100128 Initiative model RHB" xfId="442"/>
    <cellStyle name="M_Output_100226 Model with Mkting Volume" xfId="443"/>
    <cellStyle name="M_Output_100402 BP Model" xfId="444"/>
    <cellStyle name="M_Output_100405 BP Model CSRS only_$7B fcst_Price Increase Q2" xfId="445"/>
    <cellStyle name="M_Output_100413 BP Model_New Indices" xfId="446"/>
    <cellStyle name="M_Output_100420 BP Model April Rebamp" xfId="447"/>
    <cellStyle name="M_Output_2010.01.10 Initiative model v3 PAYGO adjustment" xfId="448"/>
    <cellStyle name="M_Output_2010.01.13 Initiative model v3" xfId="449"/>
    <cellStyle name="M_Output_2010.01.13 Initiative model vX7" xfId="450"/>
    <cellStyle name="M_Output_2010.01.15 Initiative model v3" xfId="451"/>
    <cellStyle name="M_Output_2010.01.18 Initiative model v10" xfId="452"/>
    <cellStyle name="M_Output_2010.01.18 Initiative model v12" xfId="453"/>
    <cellStyle name="M_Output_2010.01.18 Initiative model v3" xfId="454"/>
    <cellStyle name="M_Output_2010.01.18 Initiative model v4" xfId="455"/>
    <cellStyle name="M_Output_2010.01.18 Initiative model v5" xfId="456"/>
    <cellStyle name="M_Output_2010.01.18 Initiative model v6" xfId="457"/>
    <cellStyle name="M_Output_2010.01.20 Initiative model vF2" xfId="458"/>
    <cellStyle name="M_Output_2010.01.24 Initiative model vF" xfId="459"/>
    <cellStyle name="M_Output_Base Model Feeder v1" xfId="460"/>
    <cellStyle name="M_Output_Chart Output" xfId="461"/>
    <cellStyle name="M_Output_Chart Output -- AS" xfId="462"/>
    <cellStyle name="M_Output_Chart Output_USPS Financial Forecast Model (Formatted)" xfId="463"/>
    <cellStyle name="M_Output_Initiative dashboard" xfId="464"/>
    <cellStyle name="M_Output_L4" xfId="465"/>
    <cellStyle name="M_Output_R2" xfId="466"/>
    <cellStyle name="M_Output_S3" xfId="467"/>
    <cellStyle name="M_Output_S4" xfId="468"/>
    <cellStyle name="M_Output_Sheet1" xfId="469"/>
    <cellStyle name="M_Output_USPS Financial Forecast Model (Formatted)" xfId="470"/>
    <cellStyle name="M_Output_USPS Strategic Base model" xfId="471"/>
    <cellStyle name="M_Output_USPS Strategic Base model HANDOFF" xfId="472"/>
    <cellStyle name="M_Output_USPS Strategic Base model v12" xfId="473"/>
    <cellStyle name="M_Output_USPS Strategic Base model v4" xfId="474"/>
    <cellStyle name="Neutral" xfId="475"/>
    <cellStyle name="Normal 10" xfId="476"/>
    <cellStyle name="Normal 11" xfId="477"/>
    <cellStyle name="Normal 12" xfId="478"/>
    <cellStyle name="Normal 13" xfId="479"/>
    <cellStyle name="Normal 14" xfId="480"/>
    <cellStyle name="Normal 15" xfId="481"/>
    <cellStyle name="Normal 16" xfId="482"/>
    <cellStyle name="Normal 17" xfId="483"/>
    <cellStyle name="Normal 18" xfId="484"/>
    <cellStyle name="Normal 19" xfId="485"/>
    <cellStyle name="Normal 2" xfId="486"/>
    <cellStyle name="Normal 2 10" xfId="487"/>
    <cellStyle name="Normal 2 11" xfId="488"/>
    <cellStyle name="Normal 2 12" xfId="489"/>
    <cellStyle name="Normal 2 13" xfId="490"/>
    <cellStyle name="Normal 2 14" xfId="491"/>
    <cellStyle name="Normal 2 15" xfId="492"/>
    <cellStyle name="Normal 2 16" xfId="493"/>
    <cellStyle name="Normal 2 17" xfId="494"/>
    <cellStyle name="Normal 2 18" xfId="495"/>
    <cellStyle name="Normal 2 19" xfId="496"/>
    <cellStyle name="Normal 2 2" xfId="497"/>
    <cellStyle name="Normal 2 2 2" xfId="498"/>
    <cellStyle name="Normal 2 2 2 2" xfId="499"/>
    <cellStyle name="Normal 2 2 2 2 2" xfId="500"/>
    <cellStyle name="Normal 2 2 2 2 2 2" xfId="501"/>
    <cellStyle name="Normal 2 2 2 3" xfId="502"/>
    <cellStyle name="Normal 2 2 2_Base Model Feeder v1" xfId="503"/>
    <cellStyle name="Normal 2 2 3" xfId="504"/>
    <cellStyle name="Normal 2 2 3 2" xfId="505"/>
    <cellStyle name="Normal 2 2 3_Base Model Feeder v1" xfId="506"/>
    <cellStyle name="Normal 2 2 4" xfId="507"/>
    <cellStyle name="Normal 2 2 5" xfId="508"/>
    <cellStyle name="Normal 2 2 6" xfId="509"/>
    <cellStyle name="Normal 2 2_Base Model Feeder v1" xfId="510"/>
    <cellStyle name="Normal 2 20" xfId="511"/>
    <cellStyle name="Normal 2 21" xfId="512"/>
    <cellStyle name="Normal 2 22" xfId="513"/>
    <cellStyle name="Normal 2 23" xfId="514"/>
    <cellStyle name="Normal 2 24" xfId="515"/>
    <cellStyle name="Normal 2 25" xfId="516"/>
    <cellStyle name="Normal 2 26" xfId="517"/>
    <cellStyle name="Normal 2 3" xfId="518"/>
    <cellStyle name="Normal 2 4" xfId="519"/>
    <cellStyle name="Normal 2 5" xfId="520"/>
    <cellStyle name="Normal 2 6" xfId="521"/>
    <cellStyle name="Normal 2 7" xfId="522"/>
    <cellStyle name="Normal 2 8" xfId="523"/>
    <cellStyle name="Normal 2 9" xfId="524"/>
    <cellStyle name="Normal 2_100128 Initiative model RHB" xfId="525"/>
    <cellStyle name="Normal 20" xfId="526"/>
    <cellStyle name="Normal 21" xfId="527"/>
    <cellStyle name="Normal 22" xfId="528"/>
    <cellStyle name="Normal 23" xfId="529"/>
    <cellStyle name="Normal 27" xfId="530"/>
    <cellStyle name="Normal 3" xfId="531"/>
    <cellStyle name="Normal 3 2" xfId="532"/>
    <cellStyle name="Normal 3_100203 Management Plan Revenue and Volume Fcst" xfId="533"/>
    <cellStyle name="Normal 4" xfId="534"/>
    <cellStyle name="Normal 4 2" xfId="535"/>
    <cellStyle name="Normal 4 3" xfId="536"/>
    <cellStyle name="Normal 4 4" xfId="537"/>
    <cellStyle name="Normal 4 5" xfId="538"/>
    <cellStyle name="Normal 4 6" xfId="539"/>
    <cellStyle name="Normal 4_100128 Initiative model RHB" xfId="540"/>
    <cellStyle name="Normal 5" xfId="541"/>
    <cellStyle name="Normal 5 2" xfId="542"/>
    <cellStyle name="Normal 5 3" xfId="543"/>
    <cellStyle name="Normal 6" xfId="544"/>
    <cellStyle name="Normal 6 2" xfId="545"/>
    <cellStyle name="Normal 6 3" xfId="546"/>
    <cellStyle name="Normal 7" xfId="547"/>
    <cellStyle name="Normal 8" xfId="548"/>
    <cellStyle name="Normal 8 2" xfId="549"/>
    <cellStyle name="Normal 8 3" xfId="550"/>
    <cellStyle name="Normal 8_Base Model Feeder v1" xfId="551"/>
    <cellStyle name="Normal 9" xfId="552"/>
    <cellStyle name="Normal 9 2" xfId="553"/>
    <cellStyle name="Normal 9 3" xfId="554"/>
    <cellStyle name="Note" xfId="555"/>
    <cellStyle name="Note 2" xfId="556"/>
    <cellStyle name="Note 5" xfId="557"/>
    <cellStyle name="Note 5 2" xfId="558"/>
    <cellStyle name="Note 5 3" xfId="559"/>
    <cellStyle name="Output" xfId="560"/>
    <cellStyle name="Percent" xfId="561"/>
    <cellStyle name="Percent 2" xfId="562"/>
    <cellStyle name="Percent 2 10" xfId="563"/>
    <cellStyle name="Percent 2 11" xfId="564"/>
    <cellStyle name="Percent 2 12" xfId="565"/>
    <cellStyle name="Percent 2 13" xfId="566"/>
    <cellStyle name="Percent 2 14" xfId="567"/>
    <cellStyle name="Percent 2 15" xfId="568"/>
    <cellStyle name="Percent 2 16" xfId="569"/>
    <cellStyle name="Percent 2 17" xfId="570"/>
    <cellStyle name="Percent 2 18" xfId="571"/>
    <cellStyle name="Percent 2 19" xfId="572"/>
    <cellStyle name="Percent 2 2" xfId="573"/>
    <cellStyle name="Percent 2 20" xfId="574"/>
    <cellStyle name="Percent 2 21" xfId="575"/>
    <cellStyle name="Percent 2 22" xfId="576"/>
    <cellStyle name="Percent 2 3" xfId="577"/>
    <cellStyle name="Percent 2 4" xfId="578"/>
    <cellStyle name="Percent 2 5" xfId="579"/>
    <cellStyle name="Percent 2 6" xfId="580"/>
    <cellStyle name="Percent 2 7" xfId="581"/>
    <cellStyle name="Percent 2 8" xfId="582"/>
    <cellStyle name="Percent 2 9" xfId="583"/>
    <cellStyle name="Percent 3" xfId="584"/>
    <cellStyle name="Percent 4" xfId="585"/>
    <cellStyle name="Style 1" xfId="586"/>
    <cellStyle name="survey_question_xlr8r" xfId="587"/>
    <cellStyle name="tbl_note_xlr8r" xfId="588"/>
    <cellStyle name="Title" xfId="589"/>
    <cellStyle name="Toggle" xfId="590"/>
    <cellStyle name="Total" xfId="591"/>
    <cellStyle name="W" xfId="592"/>
    <cellStyle name="w_SHD Incentive Analysis v7" xfId="593"/>
    <cellStyle name="Warning Text" xfId="5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0"/>
  <sheetViews>
    <sheetView zoomScalePageLayoutView="0" workbookViewId="0" topLeftCell="A28">
      <selection activeCell="B55" sqref="B55"/>
    </sheetView>
  </sheetViews>
  <sheetFormatPr defaultColWidth="9.140625" defaultRowHeight="12.75"/>
  <cols>
    <col min="1" max="1" width="2.8515625" style="20" customWidth="1"/>
    <col min="2" max="2" width="39.140625" style="1" customWidth="1"/>
    <col min="3" max="3" width="11.7109375" style="1" bestFit="1" customWidth="1"/>
    <col min="4" max="4" width="48.57421875" style="1" customWidth="1"/>
    <col min="5" max="5" width="40.7109375" style="1" customWidth="1"/>
    <col min="6" max="16384" width="9.140625" style="1" customWidth="1"/>
  </cols>
  <sheetData>
    <row r="2" ht="19.5">
      <c r="B2" s="2" t="s">
        <v>134</v>
      </c>
    </row>
    <row r="3" ht="15">
      <c r="B3" s="3" t="s">
        <v>181</v>
      </c>
    </row>
    <row r="4" ht="9.75">
      <c r="B4" s="4"/>
    </row>
    <row r="5" spans="2:5" ht="10.5">
      <c r="B5" s="27" t="s">
        <v>0</v>
      </c>
      <c r="C5" s="150" t="s">
        <v>1</v>
      </c>
      <c r="D5" s="27" t="s">
        <v>3</v>
      </c>
      <c r="E5" s="28" t="s">
        <v>2</v>
      </c>
    </row>
    <row r="6" spans="2:5" ht="10.5">
      <c r="B6" s="25"/>
      <c r="C6" s="25"/>
      <c r="D6" s="25"/>
      <c r="E6" s="23"/>
    </row>
    <row r="7" spans="2:5" ht="10.5">
      <c r="B7" s="32" t="s">
        <v>4</v>
      </c>
      <c r="C7" s="25"/>
      <c r="D7" s="25"/>
      <c r="E7" s="23"/>
    </row>
    <row r="8" spans="1:5" ht="9.75">
      <c r="A8" s="20">
        <v>1</v>
      </c>
      <c r="B8" s="29" t="s">
        <v>5</v>
      </c>
      <c r="C8" s="131">
        <v>1</v>
      </c>
      <c r="D8" s="7" t="s">
        <v>118</v>
      </c>
      <c r="E8" s="11" t="s">
        <v>140</v>
      </c>
    </row>
    <row r="9" spans="1:5" ht="9.75">
      <c r="A9" s="20">
        <f>A8+1</f>
        <v>2</v>
      </c>
      <c r="B9" s="7" t="s">
        <v>105</v>
      </c>
      <c r="C9" s="132" t="s">
        <v>102</v>
      </c>
      <c r="D9" s="7" t="s">
        <v>106</v>
      </c>
      <c r="E9" s="11" t="s">
        <v>141</v>
      </c>
    </row>
    <row r="10" spans="2:4" ht="9.75">
      <c r="B10" s="7"/>
      <c r="C10" s="124"/>
      <c r="D10" s="7"/>
    </row>
    <row r="11" spans="2:4" ht="9.75">
      <c r="B11" s="26" t="s">
        <v>50</v>
      </c>
      <c r="C11" s="124"/>
      <c r="D11" s="7"/>
    </row>
    <row r="12" spans="1:5" ht="9.75">
      <c r="A12" s="20">
        <f>A9+1</f>
        <v>3</v>
      </c>
      <c r="B12" s="7" t="s">
        <v>119</v>
      </c>
      <c r="C12" s="128">
        <f>SUM('RPW Vol and Rev'!D43:G43)</f>
        <v>65719023402</v>
      </c>
      <c r="D12" s="7" t="s">
        <v>88</v>
      </c>
      <c r="E12" s="1" t="s">
        <v>120</v>
      </c>
    </row>
    <row r="13" spans="1:5" ht="10.5">
      <c r="A13" s="20">
        <f aca="true" t="shared" si="0" ref="A13:A18">A12+1</f>
        <v>4</v>
      </c>
      <c r="B13" s="7" t="s">
        <v>162</v>
      </c>
      <c r="C13" s="129">
        <v>-0.076</v>
      </c>
      <c r="D13" s="7" t="s">
        <v>142</v>
      </c>
      <c r="E13" s="1" t="s">
        <v>159</v>
      </c>
    </row>
    <row r="14" spans="1:5" ht="9.75">
      <c r="A14" s="30">
        <f t="shared" si="0"/>
        <v>5</v>
      </c>
      <c r="B14" s="31" t="s">
        <v>121</v>
      </c>
      <c r="C14" s="130">
        <v>0.8386594994855429</v>
      </c>
      <c r="D14" s="31" t="s">
        <v>136</v>
      </c>
      <c r="E14" s="78" t="s">
        <v>137</v>
      </c>
    </row>
    <row r="15" spans="1:5" ht="9.75">
      <c r="A15" s="30">
        <f t="shared" si="0"/>
        <v>6</v>
      </c>
      <c r="B15" s="7" t="s">
        <v>7</v>
      </c>
      <c r="C15" s="130">
        <v>0.5</v>
      </c>
      <c r="D15" s="7" t="s">
        <v>114</v>
      </c>
      <c r="E15" s="1" t="s">
        <v>115</v>
      </c>
    </row>
    <row r="16" spans="1:5" ht="9.75">
      <c r="A16" s="30">
        <f t="shared" si="0"/>
        <v>7</v>
      </c>
      <c r="B16" s="7" t="s">
        <v>163</v>
      </c>
      <c r="C16" s="130">
        <v>0.4</v>
      </c>
      <c r="D16" s="7" t="s">
        <v>136</v>
      </c>
      <c r="E16" s="1" t="s">
        <v>139</v>
      </c>
    </row>
    <row r="17" spans="1:5" ht="9.75">
      <c r="A17" s="30">
        <f t="shared" si="0"/>
        <v>8</v>
      </c>
      <c r="B17" s="7" t="s">
        <v>161</v>
      </c>
      <c r="C17" s="139">
        <f>Inputs!C14*Inputs!C15*Inputs!C16</f>
        <v>0.16773189989710857</v>
      </c>
      <c r="D17" s="7" t="s">
        <v>24</v>
      </c>
      <c r="E17" s="1" t="s">
        <v>145</v>
      </c>
    </row>
    <row r="18" spans="1:5" ht="9.75">
      <c r="A18" s="30">
        <f t="shared" si="0"/>
        <v>9</v>
      </c>
      <c r="B18" s="7" t="s">
        <v>122</v>
      </c>
      <c r="C18" s="130">
        <v>0.28</v>
      </c>
      <c r="D18" s="31" t="s">
        <v>136</v>
      </c>
      <c r="E18" s="1" t="s">
        <v>139</v>
      </c>
    </row>
    <row r="19" spans="1:4" ht="9.75">
      <c r="A19" s="30"/>
      <c r="B19" s="7"/>
      <c r="C19" s="121"/>
      <c r="D19" s="7"/>
    </row>
    <row r="20" spans="2:4" ht="9.75">
      <c r="B20" s="26" t="s">
        <v>138</v>
      </c>
      <c r="C20" s="7"/>
      <c r="D20" s="7"/>
    </row>
    <row r="21" spans="2:4" ht="9.75">
      <c r="B21" s="33" t="s">
        <v>48</v>
      </c>
      <c r="C21" s="7"/>
      <c r="D21" s="7"/>
    </row>
    <row r="22" spans="1:5" ht="9.75">
      <c r="A22" s="20">
        <f>A18+1</f>
        <v>10</v>
      </c>
      <c r="B22" s="34" t="s">
        <v>63</v>
      </c>
      <c r="C22" s="36">
        <v>0.3</v>
      </c>
      <c r="D22" s="7" t="s">
        <v>57</v>
      </c>
      <c r="E22" s="1" t="s">
        <v>6</v>
      </c>
    </row>
    <row r="23" spans="1:5" ht="9.75">
      <c r="A23" s="20">
        <f>A22+1</f>
        <v>11</v>
      </c>
      <c r="B23" s="34" t="s">
        <v>64</v>
      </c>
      <c r="C23" s="36">
        <v>0.3</v>
      </c>
      <c r="D23" s="7" t="s">
        <v>57</v>
      </c>
      <c r="E23" s="1" t="s">
        <v>6</v>
      </c>
    </row>
    <row r="24" spans="1:5" ht="9.75">
      <c r="A24" s="20">
        <f aca="true" t="shared" si="1" ref="A24:A34">A23+1</f>
        <v>12</v>
      </c>
      <c r="B24" s="34" t="s">
        <v>65</v>
      </c>
      <c r="C24" s="36">
        <v>0.3</v>
      </c>
      <c r="D24" s="7" t="s">
        <v>57</v>
      </c>
      <c r="E24" s="1" t="s">
        <v>6</v>
      </c>
    </row>
    <row r="25" spans="1:5" ht="9.75">
      <c r="A25" s="20">
        <f t="shared" si="1"/>
        <v>13</v>
      </c>
      <c r="B25" s="34" t="s">
        <v>66</v>
      </c>
      <c r="C25" s="36">
        <v>0.3</v>
      </c>
      <c r="D25" s="7" t="s">
        <v>57</v>
      </c>
      <c r="E25" s="1" t="s">
        <v>6</v>
      </c>
    </row>
    <row r="26" spans="1:5" ht="9.75">
      <c r="A26" s="20">
        <f>A25+1</f>
        <v>14</v>
      </c>
      <c r="B26" s="34" t="s">
        <v>68</v>
      </c>
      <c r="C26" s="36">
        <v>0.3</v>
      </c>
      <c r="D26" s="7" t="s">
        <v>57</v>
      </c>
      <c r="E26" s="1" t="s">
        <v>6</v>
      </c>
    </row>
    <row r="27" spans="1:5" ht="9.75">
      <c r="A27" s="20">
        <f t="shared" si="1"/>
        <v>15</v>
      </c>
      <c r="B27" s="34" t="s">
        <v>69</v>
      </c>
      <c r="C27" s="36">
        <v>0.3</v>
      </c>
      <c r="D27" s="7" t="s">
        <v>57</v>
      </c>
      <c r="E27" s="1" t="s">
        <v>6</v>
      </c>
    </row>
    <row r="28" spans="1:5" ht="9.75">
      <c r="A28" s="20">
        <f t="shared" si="1"/>
        <v>16</v>
      </c>
      <c r="B28" s="34" t="s">
        <v>70</v>
      </c>
      <c r="C28" s="36">
        <v>0.3</v>
      </c>
      <c r="D28" s="7" t="s">
        <v>57</v>
      </c>
      <c r="E28" s="1" t="s">
        <v>6</v>
      </c>
    </row>
    <row r="29" spans="1:5" ht="9.75">
      <c r="A29" s="20">
        <f t="shared" si="1"/>
        <v>17</v>
      </c>
      <c r="B29" s="34" t="s">
        <v>71</v>
      </c>
      <c r="C29" s="36">
        <v>0.3</v>
      </c>
      <c r="D29" s="7" t="s">
        <v>57</v>
      </c>
      <c r="E29" s="1" t="s">
        <v>6</v>
      </c>
    </row>
    <row r="30" spans="1:5" ht="9.75">
      <c r="A30" s="20">
        <f t="shared" si="1"/>
        <v>18</v>
      </c>
      <c r="B30" s="34" t="s">
        <v>16</v>
      </c>
      <c r="C30" s="36">
        <v>0.3</v>
      </c>
      <c r="D30" s="7" t="s">
        <v>57</v>
      </c>
      <c r="E30" s="1" t="s">
        <v>6</v>
      </c>
    </row>
    <row r="31" spans="1:5" ht="9.75">
      <c r="A31" s="20">
        <f t="shared" si="1"/>
        <v>19</v>
      </c>
      <c r="B31" s="34" t="s">
        <v>18</v>
      </c>
      <c r="C31" s="36">
        <v>0.3</v>
      </c>
      <c r="D31" s="7" t="s">
        <v>57</v>
      </c>
      <c r="E31" s="1" t="s">
        <v>6</v>
      </c>
    </row>
    <row r="32" spans="1:5" ht="9.75">
      <c r="A32" s="20">
        <f t="shared" si="1"/>
        <v>20</v>
      </c>
      <c r="B32" s="34" t="s">
        <v>17</v>
      </c>
      <c r="C32" s="36">
        <v>0.3</v>
      </c>
      <c r="D32" s="7" t="s">
        <v>57</v>
      </c>
      <c r="E32" s="1" t="s">
        <v>6</v>
      </c>
    </row>
    <row r="33" spans="1:5" ht="9.75">
      <c r="A33" s="20">
        <f t="shared" si="1"/>
        <v>21</v>
      </c>
      <c r="B33" s="34" t="s">
        <v>11</v>
      </c>
      <c r="C33" s="36">
        <v>0.3</v>
      </c>
      <c r="D33" s="7" t="s">
        <v>57</v>
      </c>
      <c r="E33" s="1" t="s">
        <v>6</v>
      </c>
    </row>
    <row r="34" spans="1:5" ht="9.75">
      <c r="A34" s="20">
        <f t="shared" si="1"/>
        <v>22</v>
      </c>
      <c r="B34" s="34" t="s">
        <v>72</v>
      </c>
      <c r="C34" s="36">
        <v>0.3</v>
      </c>
      <c r="D34" s="7" t="s">
        <v>57</v>
      </c>
      <c r="E34" s="1" t="s">
        <v>6</v>
      </c>
    </row>
    <row r="35" spans="2:4" ht="9.75">
      <c r="B35" s="7"/>
      <c r="C35" s="7"/>
      <c r="D35" s="7"/>
    </row>
    <row r="36" spans="2:4" ht="9.75">
      <c r="B36" s="33" t="s">
        <v>49</v>
      </c>
      <c r="C36" s="7"/>
      <c r="D36" s="7"/>
    </row>
    <row r="37" spans="1:5" ht="9.75">
      <c r="A37" s="20">
        <f>A34+1</f>
        <v>23</v>
      </c>
      <c r="B37" s="34" t="s">
        <v>73</v>
      </c>
      <c r="C37" s="36">
        <v>0.3</v>
      </c>
      <c r="D37" s="7" t="s">
        <v>57</v>
      </c>
      <c r="E37" s="1" t="s">
        <v>6</v>
      </c>
    </row>
    <row r="38" spans="1:5" ht="9.75">
      <c r="A38" s="20">
        <f>A37+1</f>
        <v>24</v>
      </c>
      <c r="B38" s="34" t="s">
        <v>74</v>
      </c>
      <c r="C38" s="36">
        <v>0.3</v>
      </c>
      <c r="D38" s="7" t="s">
        <v>57</v>
      </c>
      <c r="E38" s="1" t="s">
        <v>6</v>
      </c>
    </row>
    <row r="39" spans="1:5" ht="9.75">
      <c r="A39" s="20">
        <f aca="true" t="shared" si="2" ref="A39:A49">A38+1</f>
        <v>25</v>
      </c>
      <c r="B39" s="34" t="s">
        <v>75</v>
      </c>
      <c r="C39" s="36">
        <v>0.3</v>
      </c>
      <c r="D39" s="7" t="s">
        <v>57</v>
      </c>
      <c r="E39" s="1" t="s">
        <v>6</v>
      </c>
    </row>
    <row r="40" spans="1:5" ht="9.75">
      <c r="A40" s="20">
        <f t="shared" si="2"/>
        <v>26</v>
      </c>
      <c r="B40" s="34" t="s">
        <v>76</v>
      </c>
      <c r="C40" s="36">
        <v>0.3</v>
      </c>
      <c r="D40" s="7" t="s">
        <v>57</v>
      </c>
      <c r="E40" s="1" t="s">
        <v>6</v>
      </c>
    </row>
    <row r="41" spans="1:5" ht="9.75">
      <c r="A41" s="20">
        <f>A40+1</f>
        <v>27</v>
      </c>
      <c r="B41" s="34" t="s">
        <v>78</v>
      </c>
      <c r="C41" s="36">
        <v>0.3</v>
      </c>
      <c r="D41" s="7" t="s">
        <v>57</v>
      </c>
      <c r="E41" s="1" t="s">
        <v>6</v>
      </c>
    </row>
    <row r="42" spans="1:5" ht="9.75">
      <c r="A42" s="20">
        <f t="shared" si="2"/>
        <v>28</v>
      </c>
      <c r="B42" s="34" t="s">
        <v>79</v>
      </c>
      <c r="C42" s="36">
        <v>0.3</v>
      </c>
      <c r="D42" s="7" t="s">
        <v>57</v>
      </c>
      <c r="E42" s="1" t="s">
        <v>6</v>
      </c>
    </row>
    <row r="43" spans="1:5" ht="9.75">
      <c r="A43" s="20">
        <f t="shared" si="2"/>
        <v>29</v>
      </c>
      <c r="B43" s="34" t="s">
        <v>80</v>
      </c>
      <c r="C43" s="36">
        <v>0.3</v>
      </c>
      <c r="D43" s="7" t="s">
        <v>57</v>
      </c>
      <c r="E43" s="1" t="s">
        <v>6</v>
      </c>
    </row>
    <row r="44" spans="1:5" ht="9.75">
      <c r="A44" s="20">
        <f t="shared" si="2"/>
        <v>30</v>
      </c>
      <c r="B44" s="34" t="s">
        <v>81</v>
      </c>
      <c r="C44" s="36">
        <v>0.3</v>
      </c>
      <c r="D44" s="7" t="s">
        <v>57</v>
      </c>
      <c r="E44" s="1" t="s">
        <v>6</v>
      </c>
    </row>
    <row r="45" spans="1:5" ht="9.75">
      <c r="A45" s="20">
        <f t="shared" si="2"/>
        <v>31</v>
      </c>
      <c r="B45" s="34" t="s">
        <v>82</v>
      </c>
      <c r="C45" s="36">
        <v>0.3</v>
      </c>
      <c r="D45" s="7" t="s">
        <v>57</v>
      </c>
      <c r="E45" s="1" t="s">
        <v>6</v>
      </c>
    </row>
    <row r="46" spans="1:5" ht="9.75">
      <c r="A46" s="20">
        <f t="shared" si="2"/>
        <v>32</v>
      </c>
      <c r="B46" s="34" t="s">
        <v>83</v>
      </c>
      <c r="C46" s="36">
        <v>0.3</v>
      </c>
      <c r="D46" s="7" t="s">
        <v>57</v>
      </c>
      <c r="E46" s="1" t="s">
        <v>6</v>
      </c>
    </row>
    <row r="47" spans="1:5" ht="9.75">
      <c r="A47" s="20">
        <f t="shared" si="2"/>
        <v>33</v>
      </c>
      <c r="B47" s="34" t="s">
        <v>84</v>
      </c>
      <c r="C47" s="36">
        <v>0.3</v>
      </c>
      <c r="D47" s="7" t="s">
        <v>57</v>
      </c>
      <c r="E47" s="1" t="s">
        <v>6</v>
      </c>
    </row>
    <row r="48" spans="1:5" ht="9.75">
      <c r="A48" s="20">
        <f t="shared" si="2"/>
        <v>34</v>
      </c>
      <c r="B48" s="34" t="s">
        <v>85</v>
      </c>
      <c r="C48" s="36">
        <v>0.3</v>
      </c>
      <c r="D48" s="7" t="s">
        <v>57</v>
      </c>
      <c r="E48" s="1" t="s">
        <v>6</v>
      </c>
    </row>
    <row r="49" spans="1:5" ht="9.75">
      <c r="A49" s="20">
        <f t="shared" si="2"/>
        <v>35</v>
      </c>
      <c r="B49" s="34" t="s">
        <v>86</v>
      </c>
      <c r="C49" s="36">
        <v>0.3</v>
      </c>
      <c r="D49" s="7" t="s">
        <v>57</v>
      </c>
      <c r="E49" s="1" t="s">
        <v>6</v>
      </c>
    </row>
    <row r="50" spans="2:4" ht="9.75">
      <c r="B50" s="34"/>
      <c r="C50" s="36"/>
      <c r="D50" s="29"/>
    </row>
    <row r="51" spans="2:4" ht="9.75">
      <c r="B51" s="65"/>
      <c r="C51" s="36"/>
      <c r="D51" s="29"/>
    </row>
    <row r="52" spans="2:4" ht="9.75">
      <c r="B52" s="7"/>
      <c r="C52" s="35"/>
      <c r="D52" s="7"/>
    </row>
    <row r="53" spans="2:4" ht="9.75">
      <c r="B53" s="26" t="s">
        <v>113</v>
      </c>
      <c r="C53" s="7"/>
      <c r="D53" s="7"/>
    </row>
    <row r="54" spans="2:4" ht="9.75">
      <c r="B54" s="33" t="s">
        <v>48</v>
      </c>
      <c r="C54" s="7"/>
      <c r="D54" s="7"/>
    </row>
    <row r="55" spans="1:8" ht="9.75">
      <c r="A55" s="20">
        <f>A49+1</f>
        <v>36</v>
      </c>
      <c r="B55" s="34" t="s">
        <v>63</v>
      </c>
      <c r="C55" s="118">
        <f aca="true" t="shared" si="3" ref="C55:C67">C148*(1+$C$177)*(1+$C$178)</f>
        <v>0.2821164123024621</v>
      </c>
      <c r="D55" s="7" t="s">
        <v>24</v>
      </c>
      <c r="E55" s="1" t="s">
        <v>58</v>
      </c>
      <c r="F55" s="45"/>
      <c r="G55" s="19"/>
      <c r="H55" s="45"/>
    </row>
    <row r="56" spans="1:8" ht="9.75">
      <c r="A56" s="20">
        <f>A55+1</f>
        <v>37</v>
      </c>
      <c r="B56" s="34" t="s">
        <v>64</v>
      </c>
      <c r="C56" s="118">
        <f t="shared" si="3"/>
        <v>0.5958761309792671</v>
      </c>
      <c r="D56" s="7" t="s">
        <v>24</v>
      </c>
      <c r="E56" s="1" t="s">
        <v>58</v>
      </c>
      <c r="F56" s="45"/>
      <c r="G56" s="19"/>
      <c r="H56" s="45"/>
    </row>
    <row r="57" spans="1:8" ht="9.75">
      <c r="A57" s="20">
        <f aca="true" t="shared" si="4" ref="A57:A67">A56+1</f>
        <v>38</v>
      </c>
      <c r="B57" s="34" t="s">
        <v>65</v>
      </c>
      <c r="C57" s="118">
        <f t="shared" si="3"/>
        <v>0.3652584937717247</v>
      </c>
      <c r="D57" s="7" t="s">
        <v>24</v>
      </c>
      <c r="E57" s="1" t="s">
        <v>58</v>
      </c>
      <c r="F57" s="45"/>
      <c r="G57" s="19"/>
      <c r="H57" s="45"/>
    </row>
    <row r="58" spans="1:8" ht="9.75">
      <c r="A58" s="20">
        <f t="shared" si="4"/>
        <v>39</v>
      </c>
      <c r="B58" s="34" t="s">
        <v>66</v>
      </c>
      <c r="C58" s="118">
        <f t="shared" si="3"/>
        <v>0.338117425450515</v>
      </c>
      <c r="D58" s="7" t="s">
        <v>24</v>
      </c>
      <c r="E58" s="1" t="s">
        <v>58</v>
      </c>
      <c r="F58" s="45"/>
      <c r="G58" s="19"/>
      <c r="H58" s="45"/>
    </row>
    <row r="59" spans="1:8" ht="9.75">
      <c r="A59" s="20">
        <f>A58+1</f>
        <v>40</v>
      </c>
      <c r="B59" s="34" t="s">
        <v>68</v>
      </c>
      <c r="C59" s="118">
        <f t="shared" si="3"/>
        <v>0.1844589700791411</v>
      </c>
      <c r="D59" s="7" t="s">
        <v>24</v>
      </c>
      <c r="E59" s="1" t="s">
        <v>58</v>
      </c>
      <c r="F59" s="45"/>
      <c r="G59" s="19"/>
      <c r="H59" s="45"/>
    </row>
    <row r="60" spans="1:8" ht="9.75">
      <c r="A60" s="20">
        <f t="shared" si="4"/>
        <v>41</v>
      </c>
      <c r="B60" s="34" t="s">
        <v>69</v>
      </c>
      <c r="C60" s="118">
        <f t="shared" si="3"/>
        <v>0.19092036567051818</v>
      </c>
      <c r="D60" s="7" t="s">
        <v>24</v>
      </c>
      <c r="E60" s="1" t="s">
        <v>58</v>
      </c>
      <c r="F60" s="45"/>
      <c r="G60" s="19"/>
      <c r="H60" s="45"/>
    </row>
    <row r="61" spans="1:8" ht="9.75">
      <c r="A61" s="20">
        <f t="shared" si="4"/>
        <v>42</v>
      </c>
      <c r="B61" s="34" t="s">
        <v>70</v>
      </c>
      <c r="C61" s="118">
        <f t="shared" si="3"/>
        <v>0.19034122113444238</v>
      </c>
      <c r="D61" s="7" t="s">
        <v>24</v>
      </c>
      <c r="E61" s="1" t="s">
        <v>58</v>
      </c>
      <c r="F61" s="45"/>
      <c r="G61" s="19"/>
      <c r="H61" s="45"/>
    </row>
    <row r="62" spans="1:8" ht="9.75">
      <c r="A62" s="20">
        <f t="shared" si="4"/>
        <v>43</v>
      </c>
      <c r="B62" s="34" t="s">
        <v>71</v>
      </c>
      <c r="C62" s="118">
        <f t="shared" si="3"/>
        <v>0.1992244305029286</v>
      </c>
      <c r="D62" s="7" t="s">
        <v>24</v>
      </c>
      <c r="E62" s="1" t="s">
        <v>58</v>
      </c>
      <c r="F62" s="45"/>
      <c r="G62" s="19"/>
      <c r="H62" s="45"/>
    </row>
    <row r="63" spans="1:8" ht="9.75">
      <c r="A63" s="20">
        <f t="shared" si="4"/>
        <v>44</v>
      </c>
      <c r="B63" s="34" t="s">
        <v>16</v>
      </c>
      <c r="C63" s="118">
        <f t="shared" si="3"/>
        <v>0.236063083648331</v>
      </c>
      <c r="D63" s="7" t="s">
        <v>24</v>
      </c>
      <c r="E63" s="1" t="s">
        <v>58</v>
      </c>
      <c r="F63" s="45"/>
      <c r="G63" s="19"/>
      <c r="H63" s="45"/>
    </row>
    <row r="64" spans="1:8" ht="9.75">
      <c r="A64" s="20">
        <f t="shared" si="4"/>
        <v>45</v>
      </c>
      <c r="B64" s="34" t="s">
        <v>18</v>
      </c>
      <c r="C64" s="118">
        <f t="shared" si="3"/>
        <v>0.27234062984037855</v>
      </c>
      <c r="D64" s="7" t="s">
        <v>24</v>
      </c>
      <c r="E64" s="1" t="s">
        <v>58</v>
      </c>
      <c r="F64" s="45"/>
      <c r="G64" s="19"/>
      <c r="H64" s="45"/>
    </row>
    <row r="65" spans="1:8" ht="9.75">
      <c r="A65" s="20">
        <f t="shared" si="4"/>
        <v>46</v>
      </c>
      <c r="B65" s="34" t="s">
        <v>17</v>
      </c>
      <c r="C65" s="118">
        <f t="shared" si="3"/>
        <v>0.19792051247001646</v>
      </c>
      <c r="D65" s="7" t="s">
        <v>24</v>
      </c>
      <c r="E65" s="1" t="s">
        <v>58</v>
      </c>
      <c r="F65" s="45"/>
      <c r="G65" s="19"/>
      <c r="H65" s="45"/>
    </row>
    <row r="66" spans="1:8" ht="9.75">
      <c r="A66" s="20">
        <f t="shared" si="4"/>
        <v>47</v>
      </c>
      <c r="B66" s="34" t="s">
        <v>11</v>
      </c>
      <c r="C66" s="118">
        <f t="shared" si="3"/>
        <v>0.21959409355844003</v>
      </c>
      <c r="D66" s="7" t="s">
        <v>24</v>
      </c>
      <c r="E66" s="1" t="s">
        <v>58</v>
      </c>
      <c r="F66" s="45"/>
      <c r="G66" s="19"/>
      <c r="H66" s="45"/>
    </row>
    <row r="67" spans="1:8" ht="9.75">
      <c r="A67" s="20">
        <f t="shared" si="4"/>
        <v>48</v>
      </c>
      <c r="B67" s="34" t="s">
        <v>72</v>
      </c>
      <c r="C67" s="118">
        <f t="shared" si="3"/>
        <v>1.6576215973516926</v>
      </c>
      <c r="D67" s="7" t="s">
        <v>24</v>
      </c>
      <c r="E67" s="1" t="s">
        <v>58</v>
      </c>
      <c r="F67" s="45"/>
      <c r="G67" s="19"/>
      <c r="H67" s="45"/>
    </row>
    <row r="68" spans="2:4" ht="9.75">
      <c r="B68" s="7"/>
      <c r="C68" s="113"/>
      <c r="D68" s="7"/>
    </row>
    <row r="69" spans="2:4" ht="9.75">
      <c r="B69" s="33" t="s">
        <v>49</v>
      </c>
      <c r="C69" s="113"/>
      <c r="D69" s="7"/>
    </row>
    <row r="70" spans="1:8" ht="9.75">
      <c r="A70" s="20">
        <f>A66+1</f>
        <v>48</v>
      </c>
      <c r="B70" s="34" t="s">
        <v>73</v>
      </c>
      <c r="C70" s="118">
        <f aca="true" t="shared" si="5" ref="C70:C82">C163*(1+$C$177)*(1+$C$178)</f>
        <v>0.14306879359682137</v>
      </c>
      <c r="D70" s="7" t="s">
        <v>24</v>
      </c>
      <c r="E70" s="1" t="s">
        <v>58</v>
      </c>
      <c r="F70" s="45"/>
      <c r="G70" s="19"/>
      <c r="H70" s="45"/>
    </row>
    <row r="71" spans="1:8" ht="9.75">
      <c r="A71" s="20">
        <f>A70+1</f>
        <v>49</v>
      </c>
      <c r="B71" s="34" t="s">
        <v>74</v>
      </c>
      <c r="C71" s="118">
        <f t="shared" si="5"/>
        <v>0.37903957822362716</v>
      </c>
      <c r="D71" s="7" t="s">
        <v>24</v>
      </c>
      <c r="E71" s="1" t="s">
        <v>58</v>
      </c>
      <c r="F71" s="45"/>
      <c r="G71" s="19"/>
      <c r="H71" s="45"/>
    </row>
    <row r="72" spans="1:8" ht="9.75">
      <c r="A72" s="20">
        <f aca="true" t="shared" si="6" ref="A72:A82">A71+1</f>
        <v>50</v>
      </c>
      <c r="B72" s="34" t="s">
        <v>75</v>
      </c>
      <c r="C72" s="118">
        <f t="shared" si="5"/>
        <v>0.2615842980616472</v>
      </c>
      <c r="D72" s="7" t="s">
        <v>24</v>
      </c>
      <c r="E72" s="1" t="s">
        <v>58</v>
      </c>
      <c r="F72" s="45"/>
      <c r="G72" s="19"/>
      <c r="H72" s="45"/>
    </row>
    <row r="73" spans="1:8" ht="9.75">
      <c r="A73" s="20">
        <f t="shared" si="6"/>
        <v>51</v>
      </c>
      <c r="B73" s="34" t="s">
        <v>76</v>
      </c>
      <c r="C73" s="118">
        <f t="shared" si="5"/>
        <v>0.2500426828467204</v>
      </c>
      <c r="D73" s="7" t="s">
        <v>24</v>
      </c>
      <c r="E73" s="1" t="s">
        <v>58</v>
      </c>
      <c r="F73" s="45"/>
      <c r="G73" s="19"/>
      <c r="H73" s="45"/>
    </row>
    <row r="74" spans="1:8" ht="9.75">
      <c r="A74" s="20">
        <f>A73+1</f>
        <v>52</v>
      </c>
      <c r="B74" s="34" t="s">
        <v>78</v>
      </c>
      <c r="C74" s="118">
        <f t="shared" si="5"/>
        <v>0.1007822058839659</v>
      </c>
      <c r="D74" s="7" t="s">
        <v>24</v>
      </c>
      <c r="E74" s="1" t="s">
        <v>58</v>
      </c>
      <c r="F74" s="45"/>
      <c r="G74" s="19"/>
      <c r="H74" s="45"/>
    </row>
    <row r="75" spans="1:8" ht="9.75">
      <c r="A75" s="20">
        <f t="shared" si="6"/>
        <v>53</v>
      </c>
      <c r="B75" s="34" t="s">
        <v>79</v>
      </c>
      <c r="C75" s="118">
        <f t="shared" si="5"/>
        <v>0.11179579839731664</v>
      </c>
      <c r="D75" s="7" t="s">
        <v>24</v>
      </c>
      <c r="E75" s="1" t="s">
        <v>58</v>
      </c>
      <c r="F75" s="45"/>
      <c r="G75" s="19"/>
      <c r="H75" s="45"/>
    </row>
    <row r="76" spans="1:8" ht="9.75">
      <c r="A76" s="20">
        <f t="shared" si="6"/>
        <v>54</v>
      </c>
      <c r="B76" s="34" t="s">
        <v>80</v>
      </c>
      <c r="C76" s="118">
        <f t="shared" si="5"/>
        <v>0.10422736926406818</v>
      </c>
      <c r="D76" s="7" t="s">
        <v>24</v>
      </c>
      <c r="E76" s="1" t="s">
        <v>58</v>
      </c>
      <c r="F76" s="45"/>
      <c r="G76" s="19"/>
      <c r="H76" s="45"/>
    </row>
    <row r="77" spans="1:8" ht="9.75">
      <c r="A77" s="20">
        <f t="shared" si="6"/>
        <v>55</v>
      </c>
      <c r="B77" s="34" t="s">
        <v>81</v>
      </c>
      <c r="C77" s="118">
        <f t="shared" si="5"/>
        <v>0.10535321367239107</v>
      </c>
      <c r="D77" s="7" t="s">
        <v>24</v>
      </c>
      <c r="E77" s="1" t="s">
        <v>58</v>
      </c>
      <c r="F77" s="45"/>
      <c r="G77" s="19"/>
      <c r="H77" s="45"/>
    </row>
    <row r="78" spans="1:8" ht="9.75">
      <c r="A78" s="20">
        <f t="shared" si="6"/>
        <v>56</v>
      </c>
      <c r="B78" s="34" t="s">
        <v>82</v>
      </c>
      <c r="C78" s="118">
        <f t="shared" si="5"/>
        <v>0.12882958894588573</v>
      </c>
      <c r="D78" s="7" t="s">
        <v>24</v>
      </c>
      <c r="E78" s="1" t="s">
        <v>58</v>
      </c>
      <c r="F78" s="45"/>
      <c r="G78" s="19"/>
      <c r="H78" s="45"/>
    </row>
    <row r="79" spans="1:8" ht="9.75">
      <c r="A79" s="20">
        <f t="shared" si="6"/>
        <v>57</v>
      </c>
      <c r="B79" s="34" t="s">
        <v>83</v>
      </c>
      <c r="C79" s="118">
        <f t="shared" si="5"/>
        <v>0.17333280965013892</v>
      </c>
      <c r="D79" s="7" t="s">
        <v>24</v>
      </c>
      <c r="E79" s="1" t="s">
        <v>58</v>
      </c>
      <c r="F79" s="45"/>
      <c r="G79" s="19"/>
      <c r="H79" s="45"/>
    </row>
    <row r="80" spans="1:8" ht="9.75">
      <c r="A80" s="20">
        <f t="shared" si="6"/>
        <v>58</v>
      </c>
      <c r="B80" s="34" t="s">
        <v>84</v>
      </c>
      <c r="C80" s="118">
        <f t="shared" si="5"/>
        <v>0.10707703786978748</v>
      </c>
      <c r="D80" s="7" t="s">
        <v>24</v>
      </c>
      <c r="E80" s="1" t="s">
        <v>58</v>
      </c>
      <c r="F80" s="45"/>
      <c r="G80" s="19"/>
      <c r="H80" s="45"/>
    </row>
    <row r="81" spans="1:8" ht="9.75">
      <c r="A81" s="20">
        <f t="shared" si="6"/>
        <v>59</v>
      </c>
      <c r="B81" s="34" t="s">
        <v>85</v>
      </c>
      <c r="C81" s="118">
        <f t="shared" si="5"/>
        <v>0.12109985841847502</v>
      </c>
      <c r="D81" s="7" t="s">
        <v>24</v>
      </c>
      <c r="E81" s="1" t="s">
        <v>58</v>
      </c>
      <c r="F81" s="45"/>
      <c r="G81" s="19"/>
      <c r="H81" s="45"/>
    </row>
    <row r="82" spans="1:8" ht="9.75">
      <c r="A82" s="20">
        <f t="shared" si="6"/>
        <v>60</v>
      </c>
      <c r="B82" s="34" t="s">
        <v>86</v>
      </c>
      <c r="C82" s="118">
        <f t="shared" si="5"/>
        <v>2.386975005716991</v>
      </c>
      <c r="D82" s="7" t="s">
        <v>24</v>
      </c>
      <c r="E82" s="1" t="s">
        <v>58</v>
      </c>
      <c r="F82" s="45"/>
      <c r="G82" s="19"/>
      <c r="H82" s="45"/>
    </row>
    <row r="83" spans="2:4" ht="9.75">
      <c r="B83" s="34"/>
      <c r="C83" s="7"/>
      <c r="D83" s="7"/>
    </row>
    <row r="84" spans="2:4" ht="9.75">
      <c r="B84" s="26" t="s">
        <v>117</v>
      </c>
      <c r="C84" s="7"/>
      <c r="D84" s="7"/>
    </row>
    <row r="85" spans="2:4" ht="9.75">
      <c r="B85" s="33" t="s">
        <v>48</v>
      </c>
      <c r="C85" s="7"/>
      <c r="D85" s="7"/>
    </row>
    <row r="86" spans="1:5" ht="9.75">
      <c r="A86" s="20">
        <f>A82+1</f>
        <v>61</v>
      </c>
      <c r="B86" s="34" t="s">
        <v>63</v>
      </c>
      <c r="C86" s="118">
        <f aca="true" t="shared" si="7" ref="C86:C98">C117*(1+$C$177)*(1+$C$178)</f>
        <v>0.13108337727485794</v>
      </c>
      <c r="D86" s="7" t="s">
        <v>24</v>
      </c>
      <c r="E86" s="1" t="s">
        <v>59</v>
      </c>
    </row>
    <row r="87" spans="1:5" ht="9.75">
      <c r="A87" s="20">
        <f>A86+1</f>
        <v>62</v>
      </c>
      <c r="B87" s="34" t="s">
        <v>64</v>
      </c>
      <c r="C87" s="118">
        <f t="shared" si="7"/>
        <v>0.7722666774501648</v>
      </c>
      <c r="D87" s="7" t="s">
        <v>24</v>
      </c>
      <c r="E87" s="1" t="s">
        <v>59</v>
      </c>
    </row>
    <row r="88" spans="1:5" ht="9.75">
      <c r="A88" s="20">
        <f aca="true" t="shared" si="8" ref="A88:A98">A87+1</f>
        <v>63</v>
      </c>
      <c r="B88" s="34" t="s">
        <v>65</v>
      </c>
      <c r="C88" s="118">
        <f t="shared" si="7"/>
        <v>0.3270459373147239</v>
      </c>
      <c r="D88" s="7" t="s">
        <v>24</v>
      </c>
      <c r="E88" s="1" t="s">
        <v>59</v>
      </c>
    </row>
    <row r="89" spans="1:5" ht="9.75">
      <c r="A89" s="20">
        <f t="shared" si="8"/>
        <v>64</v>
      </c>
      <c r="B89" s="34" t="s">
        <v>66</v>
      </c>
      <c r="C89" s="118">
        <f t="shared" si="7"/>
        <v>0.3270459373147239</v>
      </c>
      <c r="D89" s="7" t="s">
        <v>24</v>
      </c>
      <c r="E89" s="1" t="s">
        <v>59</v>
      </c>
    </row>
    <row r="90" spans="1:5" ht="9.75">
      <c r="A90" s="20">
        <f>A89+1</f>
        <v>65</v>
      </c>
      <c r="B90" s="34" t="s">
        <v>68</v>
      </c>
      <c r="C90" s="118">
        <f t="shared" si="7"/>
        <v>0.10071319151289605</v>
      </c>
      <c r="D90" s="7" t="s">
        <v>24</v>
      </c>
      <c r="E90" s="1" t="s">
        <v>59</v>
      </c>
    </row>
    <row r="91" spans="1:5" ht="9.75">
      <c r="A91" s="20">
        <f t="shared" si="8"/>
        <v>66</v>
      </c>
      <c r="B91" s="34" t="s">
        <v>69</v>
      </c>
      <c r="C91" s="118">
        <f t="shared" si="7"/>
        <v>0.15307065989810087</v>
      </c>
      <c r="D91" s="7" t="s">
        <v>24</v>
      </c>
      <c r="E91" s="1" t="s">
        <v>59</v>
      </c>
    </row>
    <row r="92" spans="1:5" ht="9.75">
      <c r="A92" s="20">
        <f t="shared" si="8"/>
        <v>67</v>
      </c>
      <c r="B92" s="34" t="s">
        <v>70</v>
      </c>
      <c r="C92" s="118">
        <f t="shared" si="7"/>
        <v>0.10071319151289605</v>
      </c>
      <c r="D92" s="7" t="s">
        <v>24</v>
      </c>
      <c r="E92" s="1" t="s">
        <v>59</v>
      </c>
    </row>
    <row r="93" spans="1:5" ht="9.75">
      <c r="A93" s="20">
        <f t="shared" si="8"/>
        <v>68</v>
      </c>
      <c r="B93" s="34" t="s">
        <v>71</v>
      </c>
      <c r="C93" s="118">
        <f t="shared" si="7"/>
        <v>0.15307065989810087</v>
      </c>
      <c r="D93" s="7" t="s">
        <v>24</v>
      </c>
      <c r="E93" s="1" t="s">
        <v>59</v>
      </c>
    </row>
    <row r="94" spans="1:5" ht="9.75">
      <c r="A94" s="20">
        <f t="shared" si="8"/>
        <v>69</v>
      </c>
      <c r="B94" s="34" t="s">
        <v>16</v>
      </c>
      <c r="C94" s="118">
        <f t="shared" si="7"/>
        <v>0.10071319151289605</v>
      </c>
      <c r="D94" s="7" t="s">
        <v>24</v>
      </c>
      <c r="E94" s="1" t="s">
        <v>59</v>
      </c>
    </row>
    <row r="95" spans="1:5" ht="9.75">
      <c r="A95" s="20">
        <f t="shared" si="8"/>
        <v>70</v>
      </c>
      <c r="B95" s="34" t="s">
        <v>18</v>
      </c>
      <c r="C95" s="118">
        <f t="shared" si="7"/>
        <v>0.15307065989810087</v>
      </c>
      <c r="D95" s="7" t="s">
        <v>24</v>
      </c>
      <c r="E95" s="1" t="s">
        <v>59</v>
      </c>
    </row>
    <row r="96" spans="1:5" ht="9.75">
      <c r="A96" s="20">
        <f t="shared" si="8"/>
        <v>71</v>
      </c>
      <c r="B96" s="34" t="s">
        <v>17</v>
      </c>
      <c r="C96" s="118">
        <f t="shared" si="7"/>
        <v>0.10071319151289605</v>
      </c>
      <c r="D96" s="7" t="s">
        <v>24</v>
      </c>
      <c r="E96" s="1" t="s">
        <v>59</v>
      </c>
    </row>
    <row r="97" spans="1:5" ht="9.75">
      <c r="A97" s="20">
        <f t="shared" si="8"/>
        <v>72</v>
      </c>
      <c r="B97" s="34" t="s">
        <v>11</v>
      </c>
      <c r="C97" s="118">
        <f t="shared" si="7"/>
        <v>0.15307065989810087</v>
      </c>
      <c r="D97" s="7" t="s">
        <v>24</v>
      </c>
      <c r="E97" s="1" t="s">
        <v>59</v>
      </c>
    </row>
    <row r="98" spans="1:5" ht="9.75">
      <c r="A98" s="20">
        <f t="shared" si="8"/>
        <v>73</v>
      </c>
      <c r="B98" s="34" t="s">
        <v>72</v>
      </c>
      <c r="C98" s="118">
        <f t="shared" si="7"/>
        <v>2.1806475336589206</v>
      </c>
      <c r="D98" s="7" t="s">
        <v>24</v>
      </c>
      <c r="E98" s="1" t="s">
        <v>59</v>
      </c>
    </row>
    <row r="99" spans="2:4" ht="9.75">
      <c r="B99" s="7"/>
      <c r="C99" s="113"/>
      <c r="D99" s="7"/>
    </row>
    <row r="100" spans="2:4" ht="9.75">
      <c r="B100" s="33" t="s">
        <v>49</v>
      </c>
      <c r="C100" s="113"/>
      <c r="D100" s="7"/>
    </row>
    <row r="101" spans="1:5" ht="9.75">
      <c r="A101" s="20">
        <f>A97+1</f>
        <v>73</v>
      </c>
      <c r="B101" s="34" t="s">
        <v>73</v>
      </c>
      <c r="C101" s="118">
        <f aca="true" t="shared" si="9" ref="C101:C113">C132*(1+$C$177)*(1+$C$178)</f>
        <v>0.13108337727485794</v>
      </c>
      <c r="D101" s="7" t="s">
        <v>24</v>
      </c>
      <c r="E101" s="1" t="s">
        <v>59</v>
      </c>
    </row>
    <row r="102" spans="1:5" ht="9.75">
      <c r="A102" s="20">
        <f>A101+1</f>
        <v>74</v>
      </c>
      <c r="B102" s="34" t="s">
        <v>74</v>
      </c>
      <c r="C102" s="118">
        <f t="shared" si="9"/>
        <v>0.7722666774501648</v>
      </c>
      <c r="D102" s="7" t="s">
        <v>24</v>
      </c>
      <c r="E102" s="1" t="s">
        <v>59</v>
      </c>
    </row>
    <row r="103" spans="1:5" ht="9.75">
      <c r="A103" s="20">
        <f aca="true" t="shared" si="10" ref="A103:A113">A102+1</f>
        <v>75</v>
      </c>
      <c r="B103" s="34" t="s">
        <v>75</v>
      </c>
      <c r="C103" s="118">
        <f t="shared" si="9"/>
        <v>0.3270459373147239</v>
      </c>
      <c r="D103" s="7" t="s">
        <v>24</v>
      </c>
      <c r="E103" s="1" t="s">
        <v>59</v>
      </c>
    </row>
    <row r="104" spans="1:5" ht="9.75">
      <c r="A104" s="20">
        <f t="shared" si="10"/>
        <v>76</v>
      </c>
      <c r="B104" s="34" t="s">
        <v>76</v>
      </c>
      <c r="C104" s="118">
        <f t="shared" si="9"/>
        <v>0.3270459373147239</v>
      </c>
      <c r="D104" s="7" t="s">
        <v>24</v>
      </c>
      <c r="E104" s="1" t="s">
        <v>59</v>
      </c>
    </row>
    <row r="105" spans="1:5" ht="9.75">
      <c r="A105" s="20">
        <f>A104+1</f>
        <v>77</v>
      </c>
      <c r="B105" s="34" t="s">
        <v>78</v>
      </c>
      <c r="C105" s="118">
        <f t="shared" si="9"/>
        <v>0.10071319151289605</v>
      </c>
      <c r="D105" s="7" t="s">
        <v>24</v>
      </c>
      <c r="E105" s="1" t="s">
        <v>59</v>
      </c>
    </row>
    <row r="106" spans="1:5" ht="9.75">
      <c r="A106" s="20">
        <f t="shared" si="10"/>
        <v>78</v>
      </c>
      <c r="B106" s="34" t="s">
        <v>79</v>
      </c>
      <c r="C106" s="118">
        <f t="shared" si="9"/>
        <v>0.15307065989810087</v>
      </c>
      <c r="D106" s="7" t="s">
        <v>24</v>
      </c>
      <c r="E106" s="1" t="s">
        <v>59</v>
      </c>
    </row>
    <row r="107" spans="1:5" ht="9.75">
      <c r="A107" s="20">
        <f t="shared" si="10"/>
        <v>79</v>
      </c>
      <c r="B107" s="34" t="s">
        <v>80</v>
      </c>
      <c r="C107" s="118">
        <f t="shared" si="9"/>
        <v>0.10071319151289605</v>
      </c>
      <c r="D107" s="7" t="s">
        <v>24</v>
      </c>
      <c r="E107" s="1" t="s">
        <v>59</v>
      </c>
    </row>
    <row r="108" spans="1:5" ht="9.75">
      <c r="A108" s="20">
        <f t="shared" si="10"/>
        <v>80</v>
      </c>
      <c r="B108" s="34" t="s">
        <v>81</v>
      </c>
      <c r="C108" s="118">
        <f t="shared" si="9"/>
        <v>0.15307065989810087</v>
      </c>
      <c r="D108" s="7" t="s">
        <v>24</v>
      </c>
      <c r="E108" s="1" t="s">
        <v>59</v>
      </c>
    </row>
    <row r="109" spans="1:5" ht="9.75">
      <c r="A109" s="20">
        <f t="shared" si="10"/>
        <v>81</v>
      </c>
      <c r="B109" s="34" t="s">
        <v>82</v>
      </c>
      <c r="C109" s="118">
        <f t="shared" si="9"/>
        <v>0.10071319151289605</v>
      </c>
      <c r="D109" s="7" t="s">
        <v>24</v>
      </c>
      <c r="E109" s="1" t="s">
        <v>59</v>
      </c>
    </row>
    <row r="110" spans="1:5" ht="9.75">
      <c r="A110" s="20">
        <f t="shared" si="10"/>
        <v>82</v>
      </c>
      <c r="B110" s="34" t="s">
        <v>83</v>
      </c>
      <c r="C110" s="118">
        <f t="shared" si="9"/>
        <v>0.15307065989810087</v>
      </c>
      <c r="D110" s="7" t="s">
        <v>24</v>
      </c>
      <c r="E110" s="1" t="s">
        <v>59</v>
      </c>
    </row>
    <row r="111" spans="1:5" ht="9.75">
      <c r="A111" s="20">
        <f t="shared" si="10"/>
        <v>83</v>
      </c>
      <c r="B111" s="34" t="s">
        <v>84</v>
      </c>
      <c r="C111" s="118">
        <f t="shared" si="9"/>
        <v>0.10071319151289605</v>
      </c>
      <c r="D111" s="7" t="s">
        <v>24</v>
      </c>
      <c r="E111" s="1" t="s">
        <v>59</v>
      </c>
    </row>
    <row r="112" spans="1:5" ht="9.75">
      <c r="A112" s="20">
        <f t="shared" si="10"/>
        <v>84</v>
      </c>
      <c r="B112" s="34" t="s">
        <v>85</v>
      </c>
      <c r="C112" s="118">
        <f t="shared" si="9"/>
        <v>0.15307065989810087</v>
      </c>
      <c r="D112" s="7" t="s">
        <v>24</v>
      </c>
      <c r="E112" s="1" t="s">
        <v>59</v>
      </c>
    </row>
    <row r="113" spans="1:5" ht="9.75">
      <c r="A113" s="20">
        <f t="shared" si="10"/>
        <v>85</v>
      </c>
      <c r="B113" s="34" t="s">
        <v>86</v>
      </c>
      <c r="C113" s="118">
        <f t="shared" si="9"/>
        <v>2.1806475336589206</v>
      </c>
      <c r="D113" s="7" t="s">
        <v>24</v>
      </c>
      <c r="E113" s="1" t="s">
        <v>59</v>
      </c>
    </row>
    <row r="114" spans="2:4" ht="9.75">
      <c r="B114" s="34"/>
      <c r="C114" s="7"/>
      <c r="D114" s="7"/>
    </row>
    <row r="115" spans="2:4" ht="9.75">
      <c r="B115" s="26" t="s">
        <v>135</v>
      </c>
      <c r="C115" s="7"/>
      <c r="D115" s="7"/>
    </row>
    <row r="116" spans="2:4" ht="9.75">
      <c r="B116" s="33" t="s">
        <v>48</v>
      </c>
      <c r="C116" s="7"/>
      <c r="D116" s="7"/>
    </row>
    <row r="117" spans="1:5" ht="9.75">
      <c r="A117" s="20">
        <f>A113+1</f>
        <v>86</v>
      </c>
      <c r="B117" s="34" t="s">
        <v>63</v>
      </c>
      <c r="C117" s="133">
        <v>0.12261841499563435</v>
      </c>
      <c r="D117" s="7" t="s">
        <v>143</v>
      </c>
      <c r="E117" s="1" t="s">
        <v>59</v>
      </c>
    </row>
    <row r="118" spans="1:5" ht="9.75">
      <c r="A118" s="20">
        <f>A117+1</f>
        <v>87</v>
      </c>
      <c r="B118" s="34" t="s">
        <v>64</v>
      </c>
      <c r="C118" s="133">
        <v>0.7223960650962455</v>
      </c>
      <c r="D118" s="7" t="s">
        <v>143</v>
      </c>
      <c r="E118" s="1" t="s">
        <v>59</v>
      </c>
    </row>
    <row r="119" spans="1:5" ht="9.75">
      <c r="A119" s="20">
        <f aca="true" t="shared" si="11" ref="A119:A129">A118+1</f>
        <v>88</v>
      </c>
      <c r="B119" s="34" t="s">
        <v>65</v>
      </c>
      <c r="C119" s="133">
        <v>0.30592631421302763</v>
      </c>
      <c r="D119" s="7" t="s">
        <v>143</v>
      </c>
      <c r="E119" s="1" t="s">
        <v>59</v>
      </c>
    </row>
    <row r="120" spans="1:5" ht="9.75">
      <c r="A120" s="20">
        <f t="shared" si="11"/>
        <v>89</v>
      </c>
      <c r="B120" s="34" t="s">
        <v>66</v>
      </c>
      <c r="C120" s="133">
        <v>0.30592631421302763</v>
      </c>
      <c r="D120" s="7" t="s">
        <v>143</v>
      </c>
      <c r="E120" s="1" t="s">
        <v>59</v>
      </c>
    </row>
    <row r="121" spans="1:5" ht="9.75">
      <c r="A121" s="20">
        <f>A120+1</f>
        <v>90</v>
      </c>
      <c r="B121" s="34" t="s">
        <v>68</v>
      </c>
      <c r="C121" s="133">
        <v>0.09420944264022793</v>
      </c>
      <c r="D121" s="7" t="s">
        <v>143</v>
      </c>
      <c r="E121" s="1" t="s">
        <v>59</v>
      </c>
    </row>
    <row r="122" spans="1:5" ht="9.75">
      <c r="A122" s="20">
        <f t="shared" si="11"/>
        <v>91</v>
      </c>
      <c r="B122" s="34" t="s">
        <v>69</v>
      </c>
      <c r="C122" s="133">
        <v>0.1431858263743478</v>
      </c>
      <c r="D122" s="7" t="s">
        <v>143</v>
      </c>
      <c r="E122" s="1" t="s">
        <v>59</v>
      </c>
    </row>
    <row r="123" spans="1:5" ht="9.75">
      <c r="A123" s="20">
        <f t="shared" si="11"/>
        <v>92</v>
      </c>
      <c r="B123" s="34" t="s">
        <v>70</v>
      </c>
      <c r="C123" s="133">
        <v>0.09420944264022793</v>
      </c>
      <c r="D123" s="7" t="s">
        <v>143</v>
      </c>
      <c r="E123" s="1" t="s">
        <v>59</v>
      </c>
    </row>
    <row r="124" spans="1:5" ht="9.75">
      <c r="A124" s="20">
        <f t="shared" si="11"/>
        <v>93</v>
      </c>
      <c r="B124" s="34" t="s">
        <v>71</v>
      </c>
      <c r="C124" s="133">
        <v>0.1431858263743478</v>
      </c>
      <c r="D124" s="7" t="s">
        <v>143</v>
      </c>
      <c r="E124" s="1" t="s">
        <v>59</v>
      </c>
    </row>
    <row r="125" spans="1:5" ht="9.75">
      <c r="A125" s="20">
        <f t="shared" si="11"/>
        <v>94</v>
      </c>
      <c r="B125" s="34" t="s">
        <v>16</v>
      </c>
      <c r="C125" s="133">
        <v>0.09420944264022793</v>
      </c>
      <c r="D125" s="7" t="s">
        <v>143</v>
      </c>
      <c r="E125" s="1" t="s">
        <v>59</v>
      </c>
    </row>
    <row r="126" spans="1:5" ht="9.75">
      <c r="A126" s="20">
        <f t="shared" si="11"/>
        <v>95</v>
      </c>
      <c r="B126" s="34" t="s">
        <v>18</v>
      </c>
      <c r="C126" s="133">
        <v>0.1431858263743478</v>
      </c>
      <c r="D126" s="7" t="s">
        <v>143</v>
      </c>
      <c r="E126" s="1" t="s">
        <v>59</v>
      </c>
    </row>
    <row r="127" spans="1:5" ht="9.75">
      <c r="A127" s="20">
        <f t="shared" si="11"/>
        <v>96</v>
      </c>
      <c r="B127" s="34" t="s">
        <v>17</v>
      </c>
      <c r="C127" s="133">
        <v>0.09420944264022793</v>
      </c>
      <c r="D127" s="7" t="s">
        <v>143</v>
      </c>
      <c r="E127" s="1" t="s">
        <v>59</v>
      </c>
    </row>
    <row r="128" spans="1:5" ht="9.75">
      <c r="A128" s="20">
        <f t="shared" si="11"/>
        <v>97</v>
      </c>
      <c r="B128" s="34" t="s">
        <v>11</v>
      </c>
      <c r="C128" s="133">
        <v>0.1431858263743478</v>
      </c>
      <c r="D128" s="7" t="s">
        <v>143</v>
      </c>
      <c r="E128" s="1" t="s">
        <v>59</v>
      </c>
    </row>
    <row r="129" spans="1:5" ht="9.75">
      <c r="A129" s="20">
        <f t="shared" si="11"/>
        <v>98</v>
      </c>
      <c r="B129" s="34" t="s">
        <v>72</v>
      </c>
      <c r="C129" s="133">
        <v>2.03982800718304</v>
      </c>
      <c r="D129" s="7" t="s">
        <v>143</v>
      </c>
      <c r="E129" s="1" t="s">
        <v>59</v>
      </c>
    </row>
    <row r="130" spans="2:4" ht="9.75">
      <c r="B130" s="7"/>
      <c r="C130" s="134"/>
      <c r="D130" s="7"/>
    </row>
    <row r="131" spans="2:4" ht="9.75">
      <c r="B131" s="33" t="s">
        <v>49</v>
      </c>
      <c r="C131" s="134"/>
      <c r="D131" s="7"/>
    </row>
    <row r="132" spans="1:5" ht="9.75">
      <c r="A132" s="20">
        <f>A129+1</f>
        <v>99</v>
      </c>
      <c r="B132" s="34" t="s">
        <v>73</v>
      </c>
      <c r="C132" s="133">
        <v>0.12261841499563435</v>
      </c>
      <c r="D132" s="7" t="s">
        <v>143</v>
      </c>
      <c r="E132" s="1" t="s">
        <v>59</v>
      </c>
    </row>
    <row r="133" spans="1:5" ht="9.75">
      <c r="A133" s="20">
        <f>A132+1</f>
        <v>100</v>
      </c>
      <c r="B133" s="34" t="s">
        <v>74</v>
      </c>
      <c r="C133" s="133">
        <v>0.7223960650962455</v>
      </c>
      <c r="D133" s="7" t="s">
        <v>143</v>
      </c>
      <c r="E133" s="1" t="s">
        <v>59</v>
      </c>
    </row>
    <row r="134" spans="1:5" ht="9.75">
      <c r="A134" s="20">
        <f aca="true" t="shared" si="12" ref="A134:A144">A133+1</f>
        <v>101</v>
      </c>
      <c r="B134" s="34" t="s">
        <v>75</v>
      </c>
      <c r="C134" s="133">
        <v>0.30592631421302763</v>
      </c>
      <c r="D134" s="7" t="s">
        <v>143</v>
      </c>
      <c r="E134" s="1" t="s">
        <v>59</v>
      </c>
    </row>
    <row r="135" spans="1:5" ht="9.75">
      <c r="A135" s="20">
        <f t="shared" si="12"/>
        <v>102</v>
      </c>
      <c r="B135" s="34" t="s">
        <v>76</v>
      </c>
      <c r="C135" s="133">
        <v>0.30592631421302763</v>
      </c>
      <c r="D135" s="7" t="s">
        <v>143</v>
      </c>
      <c r="E135" s="1" t="s">
        <v>59</v>
      </c>
    </row>
    <row r="136" spans="1:5" ht="9.75">
      <c r="A136" s="20">
        <f>A135+1</f>
        <v>103</v>
      </c>
      <c r="B136" s="34" t="s">
        <v>78</v>
      </c>
      <c r="C136" s="133">
        <v>0.09420944264022793</v>
      </c>
      <c r="D136" s="7" t="s">
        <v>143</v>
      </c>
      <c r="E136" s="1" t="s">
        <v>59</v>
      </c>
    </row>
    <row r="137" spans="1:5" ht="9.75">
      <c r="A137" s="20">
        <f t="shared" si="12"/>
        <v>104</v>
      </c>
      <c r="B137" s="34" t="s">
        <v>79</v>
      </c>
      <c r="C137" s="133">
        <v>0.1431858263743478</v>
      </c>
      <c r="D137" s="7" t="s">
        <v>143</v>
      </c>
      <c r="E137" s="1" t="s">
        <v>59</v>
      </c>
    </row>
    <row r="138" spans="1:5" ht="9.75">
      <c r="A138" s="20">
        <f t="shared" si="12"/>
        <v>105</v>
      </c>
      <c r="B138" s="34" t="s">
        <v>80</v>
      </c>
      <c r="C138" s="133">
        <v>0.09420944264022793</v>
      </c>
      <c r="D138" s="7" t="s">
        <v>143</v>
      </c>
      <c r="E138" s="1" t="s">
        <v>59</v>
      </c>
    </row>
    <row r="139" spans="1:5" ht="9.75">
      <c r="A139" s="20">
        <f t="shared" si="12"/>
        <v>106</v>
      </c>
      <c r="B139" s="34" t="s">
        <v>81</v>
      </c>
      <c r="C139" s="133">
        <v>0.1431858263743478</v>
      </c>
      <c r="D139" s="7" t="s">
        <v>143</v>
      </c>
      <c r="E139" s="1" t="s">
        <v>59</v>
      </c>
    </row>
    <row r="140" spans="1:5" ht="9.75">
      <c r="A140" s="20">
        <f t="shared" si="12"/>
        <v>107</v>
      </c>
      <c r="B140" s="34" t="s">
        <v>82</v>
      </c>
      <c r="C140" s="133">
        <v>0.09420944264022793</v>
      </c>
      <c r="D140" s="7" t="s">
        <v>143</v>
      </c>
      <c r="E140" s="1" t="s">
        <v>59</v>
      </c>
    </row>
    <row r="141" spans="1:5" ht="9.75">
      <c r="A141" s="20">
        <f t="shared" si="12"/>
        <v>108</v>
      </c>
      <c r="B141" s="34" t="s">
        <v>83</v>
      </c>
      <c r="C141" s="133">
        <v>0.1431858263743478</v>
      </c>
      <c r="D141" s="7" t="s">
        <v>143</v>
      </c>
      <c r="E141" s="1" t="s">
        <v>59</v>
      </c>
    </row>
    <row r="142" spans="1:5" ht="9.75">
      <c r="A142" s="20">
        <f t="shared" si="12"/>
        <v>109</v>
      </c>
      <c r="B142" s="34" t="s">
        <v>84</v>
      </c>
      <c r="C142" s="133">
        <v>0.09420944264022793</v>
      </c>
      <c r="D142" s="7" t="s">
        <v>143</v>
      </c>
      <c r="E142" s="1" t="s">
        <v>59</v>
      </c>
    </row>
    <row r="143" spans="1:5" ht="9.75">
      <c r="A143" s="20">
        <f t="shared" si="12"/>
        <v>110</v>
      </c>
      <c r="B143" s="34" t="s">
        <v>85</v>
      </c>
      <c r="C143" s="133">
        <v>0.1431858263743478</v>
      </c>
      <c r="D143" s="7" t="s">
        <v>143</v>
      </c>
      <c r="E143" s="1" t="s">
        <v>59</v>
      </c>
    </row>
    <row r="144" spans="1:5" ht="9.75">
      <c r="A144" s="20">
        <f t="shared" si="12"/>
        <v>111</v>
      </c>
      <c r="B144" s="34" t="s">
        <v>86</v>
      </c>
      <c r="C144" s="133">
        <v>2.03982800718304</v>
      </c>
      <c r="D144" s="7" t="s">
        <v>143</v>
      </c>
      <c r="E144" s="1" t="s">
        <v>59</v>
      </c>
    </row>
    <row r="145" spans="2:4" ht="9.75">
      <c r="B145" s="34"/>
      <c r="C145" s="36"/>
      <c r="D145" s="7"/>
    </row>
    <row r="146" spans="2:4" ht="9.75">
      <c r="B146" s="26" t="s">
        <v>112</v>
      </c>
      <c r="C146" s="7"/>
      <c r="D146" s="7"/>
    </row>
    <row r="147" spans="2:4" ht="9.75">
      <c r="B147" s="33" t="s">
        <v>48</v>
      </c>
      <c r="C147" s="7"/>
      <c r="D147" s="7"/>
    </row>
    <row r="148" spans="1:5" ht="9.75">
      <c r="A148" s="20">
        <f>A144+1</f>
        <v>112</v>
      </c>
      <c r="B148" s="34" t="s">
        <v>63</v>
      </c>
      <c r="C148" s="119">
        <f>VLOOKUP(B148,'RPW Vol and Rev'!$B$85:$H$116,7,FALSE)</f>
        <v>0.26389820006123477</v>
      </c>
      <c r="D148" s="9" t="s">
        <v>144</v>
      </c>
      <c r="E148" s="1" t="s">
        <v>58</v>
      </c>
    </row>
    <row r="149" spans="1:5" ht="9.75">
      <c r="A149" s="20">
        <f>A148+1</f>
        <v>113</v>
      </c>
      <c r="B149" s="34" t="s">
        <v>64</v>
      </c>
      <c r="C149" s="119">
        <f>VLOOKUP(B149,'RPW Vol and Rev'!$B$85:$H$116,7,FALSE)</f>
        <v>0.5573962788676396</v>
      </c>
      <c r="D149" s="9" t="s">
        <v>144</v>
      </c>
      <c r="E149" s="1" t="s">
        <v>58</v>
      </c>
    </row>
    <row r="150" spans="1:5" ht="9.75">
      <c r="A150" s="20">
        <f aca="true" t="shared" si="13" ref="A150:A160">A149+1</f>
        <v>114</v>
      </c>
      <c r="B150" s="34" t="s">
        <v>65</v>
      </c>
      <c r="C150" s="119">
        <f>VLOOKUP(B150,'RPW Vol and Rev'!$B$85:$H$116,7,FALSE)</f>
        <v>0.3416712210280531</v>
      </c>
      <c r="D150" s="9" t="s">
        <v>144</v>
      </c>
      <c r="E150" s="1" t="s">
        <v>58</v>
      </c>
    </row>
    <row r="151" spans="1:5" ht="9.75">
      <c r="A151" s="20">
        <f t="shared" si="13"/>
        <v>115</v>
      </c>
      <c r="B151" s="34" t="s">
        <v>66</v>
      </c>
      <c r="C151" s="119">
        <f>VLOOKUP(B151,'RPW Vol and Rev'!$B$85:$H$116,7,FALSE)</f>
        <v>0.3162828396175196</v>
      </c>
      <c r="D151" s="9" t="s">
        <v>144</v>
      </c>
      <c r="E151" s="1" t="s">
        <v>58</v>
      </c>
    </row>
    <row r="152" spans="1:5" ht="9.75">
      <c r="A152" s="20">
        <f>A151+1</f>
        <v>116</v>
      </c>
      <c r="B152" s="34" t="s">
        <v>68</v>
      </c>
      <c r="C152" s="119">
        <f>VLOOKUP(B152,'RPW Vol and Rev'!$B$85:$H$116,7,FALSE)</f>
        <v>0.17254717579793097</v>
      </c>
      <c r="D152" s="9" t="s">
        <v>144</v>
      </c>
      <c r="E152" s="1" t="s">
        <v>58</v>
      </c>
    </row>
    <row r="153" spans="1:5" ht="9.75">
      <c r="A153" s="20">
        <f t="shared" si="13"/>
        <v>117</v>
      </c>
      <c r="B153" s="34" t="s">
        <v>69</v>
      </c>
      <c r="C153" s="119">
        <f>VLOOKUP(B153,'RPW Vol and Rev'!$B$85:$H$116,7,FALSE)</f>
        <v>0.17859131428860442</v>
      </c>
      <c r="D153" s="9" t="s">
        <v>144</v>
      </c>
      <c r="E153" s="1" t="s">
        <v>58</v>
      </c>
    </row>
    <row r="154" spans="1:5" ht="9.75">
      <c r="A154" s="20">
        <f t="shared" si="13"/>
        <v>118</v>
      </c>
      <c r="B154" s="34" t="s">
        <v>70</v>
      </c>
      <c r="C154" s="119">
        <f>VLOOKUP(B154,'RPW Vol and Rev'!$B$85:$H$116,7,FALSE)</f>
        <v>0.17804956912958173</v>
      </c>
      <c r="D154" s="9" t="s">
        <v>144</v>
      </c>
      <c r="E154" s="1" t="s">
        <v>58</v>
      </c>
    </row>
    <row r="155" spans="1:5" ht="9.75">
      <c r="A155" s="20">
        <f t="shared" si="13"/>
        <v>119</v>
      </c>
      <c r="B155" s="34" t="s">
        <v>71</v>
      </c>
      <c r="C155" s="119">
        <f>VLOOKUP(B155,'RPW Vol and Rev'!$B$85:$H$116,7,FALSE)</f>
        <v>0.18635912809489738</v>
      </c>
      <c r="D155" s="9" t="s">
        <v>144</v>
      </c>
      <c r="E155" s="1" t="s">
        <v>58</v>
      </c>
    </row>
    <row r="156" spans="1:5" ht="9.75">
      <c r="A156" s="20">
        <f t="shared" si="13"/>
        <v>120</v>
      </c>
      <c r="B156" s="34" t="s">
        <v>16</v>
      </c>
      <c r="C156" s="119">
        <f>VLOOKUP(B156,'RPW Vol and Rev'!$B$85:$H$116,7,FALSE)</f>
        <v>0.2208188540584088</v>
      </c>
      <c r="D156" s="9" t="s">
        <v>144</v>
      </c>
      <c r="E156" s="1" t="s">
        <v>58</v>
      </c>
    </row>
    <row r="157" spans="1:5" ht="9.75">
      <c r="A157" s="20">
        <f t="shared" si="13"/>
        <v>121</v>
      </c>
      <c r="B157" s="34" t="s">
        <v>18</v>
      </c>
      <c r="C157" s="119">
        <f>VLOOKUP(B157,'RPW Vol and Rev'!$B$85:$H$116,7,FALSE)</f>
        <v>0.25475370763387406</v>
      </c>
      <c r="D157" s="9" t="s">
        <v>144</v>
      </c>
      <c r="E157" s="1" t="s">
        <v>58</v>
      </c>
    </row>
    <row r="158" spans="1:5" ht="9.75">
      <c r="A158" s="20">
        <f t="shared" si="13"/>
        <v>122</v>
      </c>
      <c r="B158" s="34" t="s">
        <v>17</v>
      </c>
      <c r="C158" s="119">
        <f>VLOOKUP(B158,'RPW Vol and Rev'!$B$85:$H$116,7,FALSE)</f>
        <v>0.18513941308751958</v>
      </c>
      <c r="D158" s="9" t="s">
        <v>144</v>
      </c>
      <c r="E158" s="1" t="s">
        <v>58</v>
      </c>
    </row>
    <row r="159" spans="1:5" ht="9.75">
      <c r="A159" s="20">
        <f t="shared" si="13"/>
        <v>123</v>
      </c>
      <c r="B159" s="34" t="s">
        <v>11</v>
      </c>
      <c r="C159" s="119">
        <f>VLOOKUP(B159,'RPW Vol and Rev'!$B$85:$H$116,7,FALSE)</f>
        <v>0.20541338081394908</v>
      </c>
      <c r="D159" s="9" t="s">
        <v>144</v>
      </c>
      <c r="E159" s="1" t="s">
        <v>58</v>
      </c>
    </row>
    <row r="160" spans="1:5" ht="9.75">
      <c r="A160" s="20">
        <f t="shared" si="13"/>
        <v>124</v>
      </c>
      <c r="B160" s="34" t="s">
        <v>72</v>
      </c>
      <c r="C160" s="119">
        <f>VLOOKUP(B160,'RPW Vol and Rev'!$B$85:$H$116,7,FALSE)</f>
        <v>1.5505774809540314</v>
      </c>
      <c r="D160" s="9" t="s">
        <v>144</v>
      </c>
      <c r="E160" s="1" t="s">
        <v>58</v>
      </c>
    </row>
    <row r="161" spans="2:4" ht="9.75">
      <c r="B161" s="7"/>
      <c r="C161" s="119"/>
      <c r="D161" s="7"/>
    </row>
    <row r="162" spans="2:4" ht="9.75">
      <c r="B162" s="33" t="s">
        <v>49</v>
      </c>
      <c r="C162" s="119"/>
      <c r="D162" s="7"/>
    </row>
    <row r="163" spans="1:5" ht="9.75">
      <c r="A163" s="20">
        <f>A159+1</f>
        <v>124</v>
      </c>
      <c r="B163" s="34" t="s">
        <v>73</v>
      </c>
      <c r="C163" s="119">
        <f>VLOOKUP(B163,'RPW Vol and Rev'!$B$85:$H$116,7,FALSE)</f>
        <v>0.13382984990839533</v>
      </c>
      <c r="D163" s="9" t="s">
        <v>144</v>
      </c>
      <c r="E163" s="1" t="s">
        <v>58</v>
      </c>
    </row>
    <row r="164" spans="1:5" ht="9.75">
      <c r="A164" s="20">
        <f>A163+1</f>
        <v>125</v>
      </c>
      <c r="B164" s="34" t="s">
        <v>74</v>
      </c>
      <c r="C164" s="119">
        <f>VLOOKUP(B164,'RPW Vol and Rev'!$B$85:$H$116,7,FALSE)</f>
        <v>0.3545623653328724</v>
      </c>
      <c r="D164" s="9" t="s">
        <v>144</v>
      </c>
      <c r="E164" s="1" t="s">
        <v>58</v>
      </c>
    </row>
    <row r="165" spans="1:5" ht="9.75">
      <c r="A165" s="20">
        <f aca="true" t="shared" si="14" ref="A165:A175">A164+1</f>
        <v>126</v>
      </c>
      <c r="B165" s="34" t="s">
        <v>75</v>
      </c>
      <c r="C165" s="119">
        <f>VLOOKUP(B165,'RPW Vol and Rev'!$B$85:$H$116,7,FALSE)</f>
        <v>0.24469198675595016</v>
      </c>
      <c r="D165" s="9" t="s">
        <v>144</v>
      </c>
      <c r="E165" s="1" t="s">
        <v>58</v>
      </c>
    </row>
    <row r="166" spans="1:5" ht="9.75">
      <c r="A166" s="20">
        <f t="shared" si="14"/>
        <v>127</v>
      </c>
      <c r="B166" s="34" t="s">
        <v>76</v>
      </c>
      <c r="C166" s="119">
        <f>VLOOKUP(B166,'RPW Vol and Rev'!$B$85:$H$116,7,FALSE)</f>
        <v>0.23389569363652302</v>
      </c>
      <c r="D166" s="9" t="s">
        <v>144</v>
      </c>
      <c r="E166" s="1" t="s">
        <v>58</v>
      </c>
    </row>
    <row r="167" spans="1:5" ht="9.75">
      <c r="A167" s="20">
        <f>A166+1</f>
        <v>128</v>
      </c>
      <c r="B167" s="34" t="s">
        <v>78</v>
      </c>
      <c r="C167" s="119">
        <f>VLOOKUP(B167,'RPW Vol and Rev'!$B$85:$H$116,7,FALSE)</f>
        <v>0.0942740002749825</v>
      </c>
      <c r="D167" s="9" t="s">
        <v>144</v>
      </c>
      <c r="E167" s="1" t="s">
        <v>58</v>
      </c>
    </row>
    <row r="168" spans="1:5" ht="9.75">
      <c r="A168" s="20">
        <f t="shared" si="14"/>
        <v>129</v>
      </c>
      <c r="B168" s="34" t="s">
        <v>79</v>
      </c>
      <c r="C168" s="119">
        <f>VLOOKUP(B168,'RPW Vol and Rev'!$B$85:$H$116,7,FALSE)</f>
        <v>0.10457636877868046</v>
      </c>
      <c r="D168" s="9" t="s">
        <v>144</v>
      </c>
      <c r="E168" s="1" t="s">
        <v>58</v>
      </c>
    </row>
    <row r="169" spans="1:5" ht="9.75">
      <c r="A169" s="20">
        <f t="shared" si="14"/>
        <v>130</v>
      </c>
      <c r="B169" s="34" t="s">
        <v>80</v>
      </c>
      <c r="C169" s="119">
        <f>VLOOKUP(B169,'RPW Vol and Rev'!$B$85:$H$116,7,FALSE)</f>
        <v>0.09749668557537237</v>
      </c>
      <c r="D169" s="9" t="s">
        <v>144</v>
      </c>
      <c r="E169" s="1" t="s">
        <v>58</v>
      </c>
    </row>
    <row r="170" spans="1:5" ht="9.75">
      <c r="A170" s="20">
        <f t="shared" si="14"/>
        <v>131</v>
      </c>
      <c r="B170" s="34" t="s">
        <v>81</v>
      </c>
      <c r="C170" s="119">
        <f>VLOOKUP(B170,'RPW Vol and Rev'!$B$85:$H$116,7,FALSE)</f>
        <v>0.09854982640642364</v>
      </c>
      <c r="D170" s="9" t="s">
        <v>144</v>
      </c>
      <c r="E170" s="1" t="s">
        <v>58</v>
      </c>
    </row>
    <row r="171" spans="1:5" ht="9.75">
      <c r="A171" s="20">
        <f t="shared" si="14"/>
        <v>132</v>
      </c>
      <c r="B171" s="34" t="s">
        <v>82</v>
      </c>
      <c r="C171" s="119">
        <f>VLOOKUP(B171,'RPW Vol and Rev'!$B$85:$H$116,7,FALSE)</f>
        <v>0.12051016940126914</v>
      </c>
      <c r="D171" s="9" t="s">
        <v>144</v>
      </c>
      <c r="E171" s="1" t="s">
        <v>58</v>
      </c>
    </row>
    <row r="172" spans="1:5" ht="9.75">
      <c r="A172" s="20">
        <f t="shared" si="14"/>
        <v>133</v>
      </c>
      <c r="B172" s="34" t="s">
        <v>83</v>
      </c>
      <c r="C172" s="119">
        <f>VLOOKUP(B172,'RPW Vol and Rev'!$B$85:$H$116,7,FALSE)</f>
        <v>0.16213950866916327</v>
      </c>
      <c r="D172" s="9" t="s">
        <v>144</v>
      </c>
      <c r="E172" s="1" t="s">
        <v>58</v>
      </c>
    </row>
    <row r="173" spans="1:5" ht="9.75">
      <c r="A173" s="20">
        <f t="shared" si="14"/>
        <v>134</v>
      </c>
      <c r="B173" s="34" t="s">
        <v>84</v>
      </c>
      <c r="C173" s="119">
        <f>VLOOKUP(B173,'RPW Vol and Rev'!$B$85:$H$116,7,FALSE)</f>
        <v>0.10016233132665207</v>
      </c>
      <c r="D173" s="9" t="s">
        <v>144</v>
      </c>
      <c r="E173" s="1" t="s">
        <v>58</v>
      </c>
    </row>
    <row r="174" spans="1:5" ht="9.75">
      <c r="A174" s="20">
        <f t="shared" si="14"/>
        <v>135</v>
      </c>
      <c r="B174" s="34" t="s">
        <v>85</v>
      </c>
      <c r="C174" s="119">
        <f>VLOOKUP(B174,'RPW Vol and Rev'!$B$85:$H$116,7,FALSE)</f>
        <v>0.11327960115288559</v>
      </c>
      <c r="D174" s="9" t="s">
        <v>144</v>
      </c>
      <c r="E174" s="1" t="s">
        <v>58</v>
      </c>
    </row>
    <row r="175" spans="1:5" ht="9.75">
      <c r="A175" s="20">
        <f t="shared" si="14"/>
        <v>136</v>
      </c>
      <c r="B175" s="34" t="s">
        <v>86</v>
      </c>
      <c r="C175" s="119">
        <f>VLOOKUP(B175,'RPW Vol and Rev'!$B$85:$H$116,7,FALSE)</f>
        <v>2.2328314842049055</v>
      </c>
      <c r="D175" s="9" t="s">
        <v>144</v>
      </c>
      <c r="E175" s="1" t="s">
        <v>58</v>
      </c>
    </row>
    <row r="176" spans="2:4" ht="9.75">
      <c r="B176" s="34"/>
      <c r="C176" s="120"/>
      <c r="D176" s="7"/>
    </row>
    <row r="177" spans="1:5" ht="9.75">
      <c r="A177" s="20">
        <f>A175+1</f>
        <v>137</v>
      </c>
      <c r="B177" s="34" t="s">
        <v>109</v>
      </c>
      <c r="C177" s="125">
        <v>0.045</v>
      </c>
      <c r="D177" s="7" t="s">
        <v>160</v>
      </c>
      <c r="E177" s="1" t="s">
        <v>111</v>
      </c>
    </row>
    <row r="178" spans="1:5" ht="9.75">
      <c r="A178" s="20">
        <f>A177+1</f>
        <v>138</v>
      </c>
      <c r="B178" s="126" t="s">
        <v>110</v>
      </c>
      <c r="C178" s="127">
        <v>0.023</v>
      </c>
      <c r="D178" s="7" t="s">
        <v>160</v>
      </c>
      <c r="E178" s="1" t="s">
        <v>111</v>
      </c>
    </row>
    <row r="179" spans="3:4" ht="9.75">
      <c r="C179" s="9"/>
      <c r="D179" s="9"/>
    </row>
    <row r="180" ht="9.75">
      <c r="B180" s="167" t="s">
        <v>182</v>
      </c>
    </row>
  </sheetData>
  <sheetProtection/>
  <printOptions/>
  <pageMargins left="0.75" right="0.75" top="1" bottom="1" header="0.5" footer="0.5"/>
  <pageSetup horizontalDpi="200" verticalDpi="200" orientation="portrait" scale="54" r:id="rId1"/>
  <headerFooter alignWithMargins="0">
    <oddFooter>&amp;LDate Printed: &amp;D&amp;C&amp;A&amp;R&amp;P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70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Reg EDDM Letters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Reg EDDM Letters FY23</v>
      </c>
      <c r="C12" s="63">
        <f>VLOOKUP($B$4,'RPW Vol and Rev'!$B$8:$H$43,MATCH('Reg Letters'!C$8,'RPW Vol and Rev'!$B$8:$H$8,FALSE),FALSE)</f>
        <v>10974349</v>
      </c>
      <c r="D12" s="21">
        <f>VLOOKUP($B$4,'RPW Vol and Rev'!$K$8:$P$43,MATCH('Reg Letters'!D$8,'RPW Vol and Rev'!$K$8:$P$8,FALSE),FALSE)</f>
        <v>7452029</v>
      </c>
      <c r="E12" s="22">
        <f>VLOOKUP($B$4,'RPW Vol and Rev'!$K$8:$P$43,MATCH('Reg Letters'!E$8,'RPW Vol and Rev'!$K$8:$P$8,FALSE),FALSE)</f>
        <v>12116026.434446696</v>
      </c>
      <c r="F12" s="22">
        <f>VLOOKUP($B$4,'RPW Vol and Rev'!$K$8:$P$43,MATCH('Reg Letters'!F$8,'RPW Vol and Rev'!$K$8:$P$8,FALSE),FALSE)</f>
        <v>9693032.30817919</v>
      </c>
      <c r="G12" s="13">
        <f>SUM(C12:F12)</f>
        <v>40235436.742625885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Reg EDDM Letters FY23</v>
      </c>
      <c r="C13" s="12">
        <f>C12*Inputs!$C$14</f>
        <v>9203742.039519668</v>
      </c>
      <c r="D13" s="13">
        <f>D12*Inputs!$C$14</f>
        <v>6249714.91129175</v>
      </c>
      <c r="E13" s="13">
        <f>E12*Inputs!$C$14</f>
        <v>10161220.665266672</v>
      </c>
      <c r="F13" s="13">
        <f>F12*Inputs!$C$14</f>
        <v>8129153.624074756</v>
      </c>
      <c r="G13" s="13">
        <f>SUM(C13:F13)</f>
        <v>33743831.24015284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Reg EDDM Letters FY23</v>
      </c>
      <c r="C14" s="12">
        <f>C13*Inputs!$C$15</f>
        <v>4601871.019759834</v>
      </c>
      <c r="D14" s="13">
        <f>D13*Inputs!$C$15</f>
        <v>3124857.455645875</v>
      </c>
      <c r="E14" s="13">
        <f>E13*Inputs!$C$15</f>
        <v>5080610.332633336</v>
      </c>
      <c r="F14" s="13">
        <f>F13*Inputs!$C$15</f>
        <v>4064576.812037378</v>
      </c>
      <c r="G14" s="13">
        <f>SUM(C14:F14)</f>
        <v>16871915.62007642</v>
      </c>
    </row>
    <row r="15" spans="1:7" ht="9.75">
      <c r="A15" s="20">
        <f>A14+1</f>
        <v>4</v>
      </c>
      <c r="B15" s="1" t="s">
        <v>128</v>
      </c>
      <c r="C15" s="12">
        <f>C14*Inputs!$C$8</f>
        <v>4601871.019759834</v>
      </c>
      <c r="D15" s="13">
        <f>D14*Inputs!$C$8</f>
        <v>3124857.455645875</v>
      </c>
      <c r="E15" s="13">
        <f>E14*Inputs!$C$8</f>
        <v>5080610.332633336</v>
      </c>
      <c r="F15" s="13">
        <f>F14*Inputs!$C$8</f>
        <v>4064576.812037378</v>
      </c>
      <c r="G15" s="13">
        <f>SUM(C15:F15)</f>
        <v>16871915.62007642</v>
      </c>
    </row>
    <row r="16" spans="1:7" ht="9.75">
      <c r="A16" s="20">
        <f>A15+1</f>
        <v>5</v>
      </c>
      <c r="B16" s="1" t="s">
        <v>62</v>
      </c>
      <c r="C16" s="12">
        <f>C15+C23</f>
        <v>5117280.573972935</v>
      </c>
      <c r="D16" s="13">
        <f>D15+D23</f>
        <v>3474841.490678213</v>
      </c>
      <c r="E16" s="13">
        <f>E15+E23</f>
        <v>5649638.68988827</v>
      </c>
      <c r="F16" s="13">
        <f>F15+F23</f>
        <v>4519809.414985565</v>
      </c>
      <c r="G16" s="13">
        <f>SUM(C16:F16)</f>
        <v>18761570.169524983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1840748.4079039337</v>
      </c>
      <c r="D19" s="13">
        <f>D14*Inputs!$C$16</f>
        <v>1249942.9822583501</v>
      </c>
      <c r="E19" s="13">
        <f>E14*Inputs!$C$16</f>
        <v>2032244.1330533344</v>
      </c>
      <c r="F19" s="13">
        <f>F14*Inputs!$C$16</f>
        <v>1625830.7248149514</v>
      </c>
      <c r="G19" s="13">
        <f>SUM(C19:F19)</f>
        <v>6748766.248030569</v>
      </c>
    </row>
    <row r="20" spans="1:7" ht="9.75">
      <c r="A20" s="20">
        <f>A19+1</f>
        <v>7</v>
      </c>
      <c r="B20" s="1" t="s">
        <v>5</v>
      </c>
      <c r="C20" s="12">
        <f>C19*Inputs!$C$8</f>
        <v>1840748.4079039337</v>
      </c>
      <c r="D20" s="13">
        <f>D19*Inputs!$C$8</f>
        <v>1249942.9822583501</v>
      </c>
      <c r="E20" s="13">
        <f>E19*Inputs!$C$8</f>
        <v>2032244.1330533344</v>
      </c>
      <c r="F20" s="13">
        <f>F19*Inputs!$C$8</f>
        <v>1625830.7248149514</v>
      </c>
      <c r="G20" s="13">
        <f>SUM(C20:F20)</f>
        <v>6748766.248030569</v>
      </c>
    </row>
    <row r="21" spans="1:7" ht="9.75">
      <c r="A21" s="20">
        <f>A20+1</f>
        <v>8</v>
      </c>
      <c r="B21" s="1" t="s">
        <v>62</v>
      </c>
      <c r="C21" s="12">
        <f>C20*(1+Inputs!$C$18)</f>
        <v>2356157.962117035</v>
      </c>
      <c r="D21" s="12">
        <f>D20*(1+Inputs!$C$18)</f>
        <v>1599927.0172906881</v>
      </c>
      <c r="E21" s="12">
        <f>E20*(1+Inputs!$C$18)</f>
        <v>2601272.490308268</v>
      </c>
      <c r="F21" s="12">
        <f>F20*(1+Inputs!$C$18)</f>
        <v>2081063.3277631379</v>
      </c>
      <c r="G21" s="13">
        <f>SUM(C21:F21)</f>
        <v>8638420.797479128</v>
      </c>
    </row>
    <row r="22" spans="1:7" ht="9.75">
      <c r="A22" s="20">
        <f>A21+1</f>
        <v>9</v>
      </c>
      <c r="B22" s="1" t="s">
        <v>12</v>
      </c>
      <c r="C22" s="12">
        <f>C21-C19</f>
        <v>515409.5542131013</v>
      </c>
      <c r="D22" s="13">
        <f>D21-D19</f>
        <v>349984.035032338</v>
      </c>
      <c r="E22" s="13">
        <f>E21-E19</f>
        <v>569028.3572549336</v>
      </c>
      <c r="F22" s="13">
        <f>F21-F19</f>
        <v>455232.60294818645</v>
      </c>
      <c r="G22" s="13">
        <f>SUM(C22:F22)</f>
        <v>1889654.5494485593</v>
      </c>
    </row>
    <row r="23" spans="1:7" ht="9.75">
      <c r="A23" s="20">
        <f>A22+1</f>
        <v>10</v>
      </c>
      <c r="B23" s="47" t="s">
        <v>8</v>
      </c>
      <c r="C23" s="50">
        <f>C21-C20</f>
        <v>515409.5542131013</v>
      </c>
      <c r="D23" s="51">
        <f>D21-D20</f>
        <v>349984.035032338</v>
      </c>
      <c r="E23" s="51">
        <f>E21-E20</f>
        <v>569028.3572549336</v>
      </c>
      <c r="F23" s="51">
        <f>F21-F20</f>
        <v>455232.60294818645</v>
      </c>
      <c r="G23" s="51">
        <f>SUM(C23:F23)</f>
        <v>1889654.5494485593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448473.98369499564</v>
      </c>
      <c r="D28" s="8">
        <f>D21*(D29/D23)</f>
        <v>304532.06219709566</v>
      </c>
      <c r="E28" s="8">
        <f>E21*(E29/E23)</f>
        <v>495129.38230870763</v>
      </c>
      <c r="F28" s="8">
        <f>F21*(F29/F23)</f>
        <v>396112.13506454194</v>
      </c>
      <c r="G28" s="13">
        <f>SUM(C28:F28)</f>
        <v>1644247.5632653409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98103.68393328028</v>
      </c>
      <c r="D29" s="8">
        <f>VLOOKUP($B$4,Inputs!$B$55:$C$82,2,FALSE)*D23</f>
        <v>66616.38860561467</v>
      </c>
      <c r="E29" s="8">
        <f>VLOOKUP($B$4,Inputs!$B$55:$C$82,2,FALSE)*E23</f>
        <v>108309.5523800298</v>
      </c>
      <c r="F29" s="8">
        <f>VLOOKUP($B$4,Inputs!$B$55:$C$82,2,FALSE)*F23</f>
        <v>86649.52954536857</v>
      </c>
      <c r="G29" s="8">
        <f>SUM(C29:F29)</f>
        <v>359679.15446429333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29431.105179984082</v>
      </c>
      <c r="D30" s="49">
        <f>VLOOKUP($B$4,Inputs!$B$21:$C$49,2,FALSE)*D29</f>
        <v>19984.9165816844</v>
      </c>
      <c r="E30" s="49">
        <f>VLOOKUP($B$4,Inputs!$B$21:$C$49,2,FALSE)*E29</f>
        <v>32492.865714008938</v>
      </c>
      <c r="F30" s="49">
        <f>VLOOKUP($B$4,Inputs!$B$21:$C$49,2,FALSE)*F29</f>
        <v>25994.85886361057</v>
      </c>
      <c r="G30" s="49">
        <f>SUM(C30:F30)</f>
        <v>107903.74633928799</v>
      </c>
    </row>
    <row r="31" spans="1:7" ht="9.75">
      <c r="A31" s="20">
        <f>A30+1</f>
        <v>14</v>
      </c>
      <c r="B31" s="1" t="s">
        <v>43</v>
      </c>
      <c r="C31" s="10">
        <f>C29-C30</f>
        <v>68672.5787532962</v>
      </c>
      <c r="D31" s="8">
        <f>D29-D30</f>
        <v>46631.47202393027</v>
      </c>
      <c r="E31" s="8">
        <f>E29-E30</f>
        <v>75816.68666602086</v>
      </c>
      <c r="F31" s="8">
        <f>F29-F30</f>
        <v>60654.670681758</v>
      </c>
      <c r="G31" s="8">
        <f>SUM(C31:F31)</f>
        <v>251775.40812500534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51908.54114104045</v>
      </c>
      <c r="D36" s="8">
        <f>D23*VLOOKUP($B$4,Inputs!$B$86:$C$113,2,FALSE)</f>
        <v>35248.00914666798</v>
      </c>
      <c r="E36" s="8">
        <f>E23*VLOOKUP($B$4,Inputs!$B$86:$C$113,2,FALSE)</f>
        <v>57308.66192048476</v>
      </c>
      <c r="F36" s="8">
        <f>F23*VLOOKUP($B$4,Inputs!$B$86:$C$113,2,FALSE)</f>
        <v>45847.92832363487</v>
      </c>
      <c r="G36" s="8">
        <f>G23*VLOOKUP($B$4,Inputs!$B$86:$C$113,2,FALSE)</f>
        <v>190313.14053182804</v>
      </c>
    </row>
    <row r="37" spans="1:7" ht="9.75">
      <c r="A37" s="20">
        <f>A36+1</f>
        <v>16</v>
      </c>
      <c r="B37" s="1" t="s">
        <v>10</v>
      </c>
      <c r="C37" s="10">
        <f>C31-C36</f>
        <v>16764.03761225575</v>
      </c>
      <c r="D37" s="10">
        <f>D31-D36</f>
        <v>11383.46287726229</v>
      </c>
      <c r="E37" s="10">
        <f>E31-E36</f>
        <v>18508.024745536102</v>
      </c>
      <c r="F37" s="10">
        <f>F31-F36</f>
        <v>14806.742358123127</v>
      </c>
      <c r="G37" s="8">
        <f>G31-G36</f>
        <v>61462.2675931773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71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Reg EDDM Flats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Reg EDDM Flats FY23</v>
      </c>
      <c r="C12" s="63">
        <f>VLOOKUP($B$4,'RPW Vol and Rev'!$B$8:$H$43,MATCH('Reg Letters'!C$8,'RPW Vol and Rev'!$B$8:$H$8,FALSE),FALSE)</f>
        <v>484533023</v>
      </c>
      <c r="D12" s="21">
        <f>VLOOKUP($B$4,'RPW Vol and Rev'!$K$8:$P$43,MATCH('Reg Letters'!D$8,'RPW Vol and Rev'!$K$8:$P$8,FALSE),FALSE)</f>
        <v>459008956</v>
      </c>
      <c r="E12" s="22">
        <f>VLOOKUP($B$4,'RPW Vol and Rev'!$K$8:$P$43,MATCH('Reg Letters'!E$8,'RPW Vol and Rev'!$K$8:$P$8,FALSE),FALSE)</f>
        <v>497759552.41241074</v>
      </c>
      <c r="F12" s="22">
        <f>VLOOKUP($B$4,'RPW Vol and Rev'!$K$8:$P$43,MATCH('Reg Letters'!F$8,'RPW Vol and Rev'!$K$8:$P$8,FALSE),FALSE)</f>
        <v>496695275.8606944</v>
      </c>
      <c r="G12" s="13">
        <f>SUM(C12:F12)</f>
        <v>1937996807.2731051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Reg EDDM Flats FY23</v>
      </c>
      <c r="C13" s="12">
        <f>C12*Inputs!$C$14</f>
        <v>406358222.553397</v>
      </c>
      <c r="D13" s="13">
        <f>D12*Inputs!$C$14</f>
        <v>384952221.2983416</v>
      </c>
      <c r="E13" s="13">
        <f>E12*Inputs!$C$14</f>
        <v>417450777.0903402</v>
      </c>
      <c r="F13" s="13">
        <f>F12*Inputs!$C$14</f>
        <v>416558211.4501636</v>
      </c>
      <c r="G13" s="13">
        <f>SUM(C13:F13)</f>
        <v>1625319432.3922424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Reg EDDM Flats FY23</v>
      </c>
      <c r="C14" s="12">
        <f>C13*Inputs!$C$15</f>
        <v>203179111.2766985</v>
      </c>
      <c r="D14" s="13">
        <f>D13*Inputs!$C$15</f>
        <v>192476110.6491708</v>
      </c>
      <c r="E14" s="13">
        <f>E13*Inputs!$C$15</f>
        <v>208725388.5451701</v>
      </c>
      <c r="F14" s="13">
        <f>F13*Inputs!$C$15</f>
        <v>208279105.7250818</v>
      </c>
      <c r="G14" s="13">
        <f>SUM(C14:F14)</f>
        <v>812659716.1961212</v>
      </c>
    </row>
    <row r="15" spans="1:7" ht="9.75">
      <c r="A15" s="20">
        <f>A14+1</f>
        <v>4</v>
      </c>
      <c r="B15" s="1" t="s">
        <v>128</v>
      </c>
      <c r="C15" s="12">
        <f>C14*Inputs!$C$8</f>
        <v>203179111.2766985</v>
      </c>
      <c r="D15" s="13">
        <f>D14*Inputs!$C$8</f>
        <v>192476110.6491708</v>
      </c>
      <c r="E15" s="13">
        <f>E14*Inputs!$C$8</f>
        <v>208725388.5451701</v>
      </c>
      <c r="F15" s="13">
        <f>F14*Inputs!$C$8</f>
        <v>208279105.7250818</v>
      </c>
      <c r="G15" s="13">
        <f>SUM(C15:F15)</f>
        <v>812659716.1961212</v>
      </c>
    </row>
    <row r="16" spans="1:7" ht="9.75">
      <c r="A16" s="20">
        <f>A15+1</f>
        <v>5</v>
      </c>
      <c r="B16" s="1" t="s">
        <v>62</v>
      </c>
      <c r="C16" s="12">
        <f>C15+C23</f>
        <v>225935171.73968875</v>
      </c>
      <c r="D16" s="13">
        <f>D15+D23</f>
        <v>214033435.04187793</v>
      </c>
      <c r="E16" s="13">
        <f>E15+E23</f>
        <v>232102632.06222916</v>
      </c>
      <c r="F16" s="13">
        <f>F15+F23</f>
        <v>231606365.56629097</v>
      </c>
      <c r="G16" s="13">
        <f>SUM(C16:F16)</f>
        <v>903677604.4100868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81271644.51067941</v>
      </c>
      <c r="D19" s="13">
        <f>D14*Inputs!$C$16</f>
        <v>76990444.25966832</v>
      </c>
      <c r="E19" s="13">
        <f>E14*Inputs!$C$16</f>
        <v>83490155.41806805</v>
      </c>
      <c r="F19" s="13">
        <f>F14*Inputs!$C$16</f>
        <v>83311642.29003273</v>
      </c>
      <c r="G19" s="13">
        <f>SUM(C19:F19)</f>
        <v>325063886.4784485</v>
      </c>
    </row>
    <row r="20" spans="1:7" ht="9.75">
      <c r="A20" s="20">
        <f>A19+1</f>
        <v>7</v>
      </c>
      <c r="B20" s="1" t="s">
        <v>5</v>
      </c>
      <c r="C20" s="12">
        <f>C19*Inputs!$C$8</f>
        <v>81271644.51067941</v>
      </c>
      <c r="D20" s="13">
        <f>D19*Inputs!$C$8</f>
        <v>76990444.25966832</v>
      </c>
      <c r="E20" s="13">
        <f>E19*Inputs!$C$8</f>
        <v>83490155.41806805</v>
      </c>
      <c r="F20" s="13">
        <f>F19*Inputs!$C$8</f>
        <v>83311642.29003273</v>
      </c>
      <c r="G20" s="13">
        <f>SUM(C20:F20)</f>
        <v>325063886.4784485</v>
      </c>
    </row>
    <row r="21" spans="1:7" ht="9.75">
      <c r="A21" s="20">
        <f>A20+1</f>
        <v>8</v>
      </c>
      <c r="B21" s="1" t="s">
        <v>62</v>
      </c>
      <c r="C21" s="12">
        <f>C20*(1+Inputs!$C$18)</f>
        <v>104027704.97366965</v>
      </c>
      <c r="D21" s="12">
        <f>D20*(1+Inputs!$C$18)</f>
        <v>98547768.65237544</v>
      </c>
      <c r="E21" s="12">
        <f>E20*(1+Inputs!$C$18)</f>
        <v>106867398.93512711</v>
      </c>
      <c r="F21" s="12">
        <f>F20*(1+Inputs!$C$18)</f>
        <v>106638902.1312419</v>
      </c>
      <c r="G21" s="13">
        <f>SUM(C21:F21)</f>
        <v>416081774.69241416</v>
      </c>
    </row>
    <row r="22" spans="1:7" ht="9.75">
      <c r="A22" s="20">
        <f>A21+1</f>
        <v>9</v>
      </c>
      <c r="B22" s="1" t="s">
        <v>12</v>
      </c>
      <c r="C22" s="12">
        <f>C21-C19</f>
        <v>22756060.46299024</v>
      </c>
      <c r="D22" s="13">
        <f>D21-D19</f>
        <v>21557324.392707124</v>
      </c>
      <c r="E22" s="13">
        <f>E21-E19</f>
        <v>23377243.517059058</v>
      </c>
      <c r="F22" s="13">
        <f>F21-F19</f>
        <v>23327259.841209173</v>
      </c>
      <c r="G22" s="13">
        <f>SUM(C22:F22)</f>
        <v>91017888.2139656</v>
      </c>
    </row>
    <row r="23" spans="1:7" ht="9.75">
      <c r="A23" s="20">
        <f>A22+1</f>
        <v>10</v>
      </c>
      <c r="B23" s="47" t="s">
        <v>8</v>
      </c>
      <c r="C23" s="50">
        <f>C21-C20</f>
        <v>22756060.46299024</v>
      </c>
      <c r="D23" s="51">
        <f>D21-D20</f>
        <v>21557324.392707124</v>
      </c>
      <c r="E23" s="51">
        <f>E21-E20</f>
        <v>23377243.517059058</v>
      </c>
      <c r="F23" s="51">
        <f>F21-F20</f>
        <v>23327259.841209173</v>
      </c>
      <c r="G23" s="51">
        <f>SUM(C23:F23)</f>
        <v>91017888.2139656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20724860.279906012</v>
      </c>
      <c r="D28" s="8">
        <f>D21*(D29/D23)</f>
        <v>19633123.08710386</v>
      </c>
      <c r="E28" s="8">
        <f>E21*(E29/E23)</f>
        <v>21290596.692179978</v>
      </c>
      <c r="F28" s="8">
        <f>F21*(F29/F23)</f>
        <v>21245074.546554208</v>
      </c>
      <c r="G28" s="13">
        <f>SUM(C28:F28)</f>
        <v>82893654.60574406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4533563.18622944</v>
      </c>
      <c r="D29" s="8">
        <f>VLOOKUP($B$4,Inputs!$B$55:$C$82,2,FALSE)*D23</f>
        <v>4294745.675303968</v>
      </c>
      <c r="E29" s="8">
        <f>VLOOKUP($B$4,Inputs!$B$55:$C$82,2,FALSE)*E23</f>
        <v>4657318.02641437</v>
      </c>
      <c r="F29" s="8">
        <f>VLOOKUP($B$4,Inputs!$B$55:$C$82,2,FALSE)*F23</f>
        <v>4647360.057058734</v>
      </c>
      <c r="G29" s="8">
        <f>SUM(C29:F29)</f>
        <v>18132986.945006512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1360068.955868832</v>
      </c>
      <c r="D30" s="49">
        <f>VLOOKUP($B$4,Inputs!$B$21:$C$49,2,FALSE)*D29</f>
        <v>1288423.7025911903</v>
      </c>
      <c r="E30" s="49">
        <f>VLOOKUP($B$4,Inputs!$B$21:$C$49,2,FALSE)*E29</f>
        <v>1397195.407924311</v>
      </c>
      <c r="F30" s="49">
        <f>VLOOKUP($B$4,Inputs!$B$21:$C$49,2,FALSE)*F29</f>
        <v>1394208.0171176202</v>
      </c>
      <c r="G30" s="49">
        <f>SUM(C30:F30)</f>
        <v>5439896.083501954</v>
      </c>
    </row>
    <row r="31" spans="1:7" ht="9.75">
      <c r="A31" s="20">
        <f>A30+1</f>
        <v>14</v>
      </c>
      <c r="B31" s="1" t="s">
        <v>43</v>
      </c>
      <c r="C31" s="10">
        <f>C29-C30</f>
        <v>3173494.2303606085</v>
      </c>
      <c r="D31" s="8">
        <f>D29-D30</f>
        <v>3006321.9727127776</v>
      </c>
      <c r="E31" s="8">
        <f>E29-E30</f>
        <v>3260122.618490059</v>
      </c>
      <c r="F31" s="8">
        <f>F29-F30</f>
        <v>3253152.0399411134</v>
      </c>
      <c r="G31" s="8">
        <f>SUM(C31:F31)</f>
        <v>12693090.861504558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3483285.1917509986</v>
      </c>
      <c r="D36" s="8">
        <f>D23*VLOOKUP($B$4,Inputs!$B$86:$C$113,2,FALSE)</f>
        <v>3299793.870429106</v>
      </c>
      <c r="E36" s="8">
        <f>E23*VLOOKUP($B$4,Inputs!$B$86:$C$113,2,FALSE)</f>
        <v>3578370.0917548304</v>
      </c>
      <c r="F36" s="8">
        <f>F23*VLOOKUP($B$4,Inputs!$B$86:$C$113,2,FALSE)</f>
        <v>3570719.057508356</v>
      </c>
      <c r="G36" s="8">
        <f>G23*VLOOKUP($B$4,Inputs!$B$86:$C$113,2,FALSE)</f>
        <v>13932168.211443292</v>
      </c>
    </row>
    <row r="37" spans="1:7" ht="9.75">
      <c r="A37" s="20">
        <f>A36+1</f>
        <v>16</v>
      </c>
      <c r="B37" s="1" t="s">
        <v>10</v>
      </c>
      <c r="C37" s="10">
        <f>C31-C36</f>
        <v>-309790.96139039006</v>
      </c>
      <c r="D37" s="10">
        <f>D31-D36</f>
        <v>-293471.8977163285</v>
      </c>
      <c r="E37" s="10">
        <f>E31-E36</f>
        <v>-318247.4732647715</v>
      </c>
      <c r="F37" s="10">
        <f>F31-F36</f>
        <v>-317567.0175672425</v>
      </c>
      <c r="G37" s="8">
        <f>G31-G36</f>
        <v>-1239077.3499387335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17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Reg HD Plus Letters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Reg HD Plus Letters FY23</v>
      </c>
      <c r="C12" s="63">
        <f>VLOOKUP($B$4,'RPW Vol and Rev'!$B$8:$H$43,MATCH('Reg Letters'!C$8,'RPW Vol and Rev'!$B$8:$H$8,FALSE),FALSE)</f>
        <v>283483263</v>
      </c>
      <c r="D12" s="21">
        <f>VLOOKUP($B$4,'RPW Vol and Rev'!$K$8:$P$43,MATCH('Reg Letters'!D$8,'RPW Vol and Rev'!$K$8:$P$8,FALSE),FALSE)</f>
        <v>360144447</v>
      </c>
      <c r="E12" s="22">
        <f>VLOOKUP($B$4,'RPW Vol and Rev'!$K$8:$P$43,MATCH('Reg Letters'!E$8,'RPW Vol and Rev'!$K$8:$P$8,FALSE),FALSE)</f>
        <v>336510104.38808995</v>
      </c>
      <c r="F12" s="22">
        <f>VLOOKUP($B$4,'RPW Vol and Rev'!$K$8:$P$43,MATCH('Reg Letters'!F$8,'RPW Vol and Rev'!$K$8:$P$8,FALSE),FALSE)</f>
        <v>348139585.88557315</v>
      </c>
      <c r="G12" s="13">
        <f>SUM(C12:F12)</f>
        <v>1328277400.273663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Reg HD Plus Letters FY23</v>
      </c>
      <c r="C13" s="12">
        <f>C12*Inputs!$C$14</f>
        <v>237745931.46010852</v>
      </c>
      <c r="D13" s="13">
        <f>D12*Inputs!$C$14</f>
        <v>302038561.6635176</v>
      </c>
      <c r="E13" s="13">
        <f>E12*Inputs!$C$14</f>
        <v>282217395.7179433</v>
      </c>
      <c r="F13" s="13">
        <f>F12*Inputs!$C$14</f>
        <v>291970570.84989893</v>
      </c>
      <c r="G13" s="13">
        <f>SUM(C13:F13)</f>
        <v>1113972459.6914682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Reg HD Plus Letters FY23</v>
      </c>
      <c r="C14" s="12">
        <f>C13*Inputs!$C$15</f>
        <v>118872965.73005426</v>
      </c>
      <c r="D14" s="13">
        <f>D13*Inputs!$C$15</f>
        <v>151019280.8317588</v>
      </c>
      <c r="E14" s="13">
        <f>E13*Inputs!$C$15</f>
        <v>141108697.85897166</v>
      </c>
      <c r="F14" s="13">
        <f>F13*Inputs!$C$15</f>
        <v>145985285.42494947</v>
      </c>
      <c r="G14" s="13">
        <f>SUM(C14:F14)</f>
        <v>556986229.8457341</v>
      </c>
    </row>
    <row r="15" spans="1:7" ht="9.75">
      <c r="A15" s="20">
        <f>A14+1</f>
        <v>4</v>
      </c>
      <c r="B15" s="1" t="s">
        <v>128</v>
      </c>
      <c r="C15" s="12">
        <f>C14*Inputs!$C$8</f>
        <v>118872965.73005426</v>
      </c>
      <c r="D15" s="13">
        <f>D14*Inputs!$C$8</f>
        <v>151019280.8317588</v>
      </c>
      <c r="E15" s="13">
        <f>E14*Inputs!$C$8</f>
        <v>141108697.85897166</v>
      </c>
      <c r="F15" s="13">
        <f>F14*Inputs!$C$8</f>
        <v>145985285.42494947</v>
      </c>
      <c r="G15" s="13">
        <f>SUM(C15:F15)</f>
        <v>556986229.8457341</v>
      </c>
    </row>
    <row r="16" spans="1:7" ht="9.75">
      <c r="A16" s="20">
        <f>A15+1</f>
        <v>5</v>
      </c>
      <c r="B16" s="1" t="s">
        <v>62</v>
      </c>
      <c r="C16" s="12">
        <f>C15+C23</f>
        <v>132186737.89182034</v>
      </c>
      <c r="D16" s="13">
        <f>D15+D23</f>
        <v>167933440.28491578</v>
      </c>
      <c r="E16" s="13">
        <f>E15+E23</f>
        <v>156912872.01917648</v>
      </c>
      <c r="F16" s="13">
        <f>F15+F23</f>
        <v>162335637.39254382</v>
      </c>
      <c r="G16" s="13">
        <f>SUM(C16:F16)</f>
        <v>619368687.5884564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47549186.29202171</v>
      </c>
      <c r="D19" s="13">
        <f>D14*Inputs!$C$16</f>
        <v>60407712.33270352</v>
      </c>
      <c r="E19" s="13">
        <f>E14*Inputs!$C$16</f>
        <v>56443479.14358866</v>
      </c>
      <c r="F19" s="13">
        <f>F14*Inputs!$C$16</f>
        <v>58394114.16997979</v>
      </c>
      <c r="G19" s="13">
        <f>SUM(C19:F19)</f>
        <v>222794491.93829367</v>
      </c>
    </row>
    <row r="20" spans="1:7" ht="9.75">
      <c r="A20" s="20">
        <f>A19+1</f>
        <v>7</v>
      </c>
      <c r="B20" s="1" t="s">
        <v>5</v>
      </c>
      <c r="C20" s="12">
        <f>C19*Inputs!$C$8</f>
        <v>47549186.29202171</v>
      </c>
      <c r="D20" s="13">
        <f>D19*Inputs!$C$8</f>
        <v>60407712.33270352</v>
      </c>
      <c r="E20" s="13">
        <f>E19*Inputs!$C$8</f>
        <v>56443479.14358866</v>
      </c>
      <c r="F20" s="13">
        <f>F19*Inputs!$C$8</f>
        <v>58394114.16997979</v>
      </c>
      <c r="G20" s="13">
        <f>SUM(C20:F20)</f>
        <v>222794491.93829367</v>
      </c>
    </row>
    <row r="21" spans="1:7" ht="9.75">
      <c r="A21" s="20">
        <f>A20+1</f>
        <v>8</v>
      </c>
      <c r="B21" s="1" t="s">
        <v>62</v>
      </c>
      <c r="C21" s="12">
        <f>C20*(1+Inputs!$C$18)</f>
        <v>60862958.45378779</v>
      </c>
      <c r="D21" s="12">
        <f>D20*(1+Inputs!$C$18)</f>
        <v>77321871.78586051</v>
      </c>
      <c r="E21" s="12">
        <f>E20*(1+Inputs!$C$18)</f>
        <v>72247653.30379349</v>
      </c>
      <c r="F21" s="12">
        <f>F20*(1+Inputs!$C$18)</f>
        <v>74744466.13757414</v>
      </c>
      <c r="G21" s="13">
        <f>SUM(C21:F21)</f>
        <v>285176949.6810159</v>
      </c>
    </row>
    <row r="22" spans="1:7" ht="9.75">
      <c r="A22" s="20">
        <f>A21+1</f>
        <v>9</v>
      </c>
      <c r="B22" s="1" t="s">
        <v>12</v>
      </c>
      <c r="C22" s="12">
        <f>C21-C19</f>
        <v>13313772.161766082</v>
      </c>
      <c r="D22" s="13">
        <f>D21-D19</f>
        <v>16914159.453156985</v>
      </c>
      <c r="E22" s="13">
        <f>E21-E19</f>
        <v>15804174.160204828</v>
      </c>
      <c r="F22" s="13">
        <f>F21-F19</f>
        <v>16350351.967594348</v>
      </c>
      <c r="G22" s="13">
        <f>SUM(C22:F22)</f>
        <v>62382457.74272224</v>
      </c>
    </row>
    <row r="23" spans="1:7" ht="9.75">
      <c r="A23" s="20">
        <f>A22+1</f>
        <v>10</v>
      </c>
      <c r="B23" s="47" t="s">
        <v>8</v>
      </c>
      <c r="C23" s="50">
        <f>C21-C20</f>
        <v>13313772.161766082</v>
      </c>
      <c r="D23" s="51">
        <f>D21-D20</f>
        <v>16914159.453156985</v>
      </c>
      <c r="E23" s="51">
        <f>E21-E20</f>
        <v>15804174.160204828</v>
      </c>
      <c r="F23" s="51">
        <f>F21-F20</f>
        <v>16350351.967594348</v>
      </c>
      <c r="G23" s="51">
        <f>SUM(C23:F23)</f>
        <v>62382457.74272224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12046027.927615002</v>
      </c>
      <c r="D28" s="8">
        <f>D21*(D29/D23)</f>
        <v>15303584.488998419</v>
      </c>
      <c r="E28" s="8">
        <f>E21*(E29/E23)</f>
        <v>14299292.566642886</v>
      </c>
      <c r="F28" s="8">
        <f>F21*(F29/F23)</f>
        <v>14793463.042246465</v>
      </c>
      <c r="G28" s="13">
        <f>SUM(C28:F28)</f>
        <v>56442368.02550277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2635068.609165782</v>
      </c>
      <c r="D29" s="8">
        <f>VLOOKUP($B$4,Inputs!$B$55:$C$82,2,FALSE)*D23</f>
        <v>3347659.106968404</v>
      </c>
      <c r="E29" s="8">
        <f>VLOOKUP($B$4,Inputs!$B$55:$C$82,2,FALSE)*E23</f>
        <v>3127970.2489531315</v>
      </c>
      <c r="F29" s="8">
        <f>VLOOKUP($B$4,Inputs!$B$55:$C$82,2,FALSE)*F23</f>
        <v>3236070.040491415</v>
      </c>
      <c r="G29" s="8">
        <f>SUM(C29:F29)</f>
        <v>12346768.005578732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790520.5827497346</v>
      </c>
      <c r="D30" s="49">
        <f>VLOOKUP($B$4,Inputs!$B$21:$C$49,2,FALSE)*D29</f>
        <v>1004297.7320905211</v>
      </c>
      <c r="E30" s="49">
        <f>VLOOKUP($B$4,Inputs!$B$21:$C$49,2,FALSE)*E29</f>
        <v>938391.0746859395</v>
      </c>
      <c r="F30" s="49">
        <f>VLOOKUP($B$4,Inputs!$B$21:$C$49,2,FALSE)*F29</f>
        <v>970821.0121474245</v>
      </c>
      <c r="G30" s="49">
        <f>SUM(C30:F30)</f>
        <v>3704030.4016736196</v>
      </c>
    </row>
    <row r="31" spans="1:7" ht="9.75">
      <c r="A31" s="20">
        <f>A30+1</f>
        <v>14</v>
      </c>
      <c r="B31" s="1" t="s">
        <v>43</v>
      </c>
      <c r="C31" s="10">
        <f>C29-C30</f>
        <v>1844548.0264160475</v>
      </c>
      <c r="D31" s="8">
        <f>D29-D30</f>
        <v>2343361.3748778827</v>
      </c>
      <c r="E31" s="8">
        <f>E29-E30</f>
        <v>2189579.174267192</v>
      </c>
      <c r="F31" s="8">
        <f>F29-F30</f>
        <v>2265249.0283439904</v>
      </c>
      <c r="G31" s="8">
        <f>SUM(C31:F31)</f>
        <v>8642737.603905112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1340872.4854870115</v>
      </c>
      <c r="D36" s="8">
        <f>D23*VLOOKUP($B$4,Inputs!$B$86:$C$113,2,FALSE)</f>
        <v>1703478.9802854606</v>
      </c>
      <c r="E36" s="8">
        <f>E23*VLOOKUP($B$4,Inputs!$B$86:$C$113,2,FALSE)</f>
        <v>1591688.818899872</v>
      </c>
      <c r="F36" s="8">
        <f>F23*VLOOKUP($B$4,Inputs!$B$86:$C$113,2,FALSE)</f>
        <v>1646696.1290155863</v>
      </c>
      <c r="G36" s="8">
        <f>G23*VLOOKUP($B$4,Inputs!$B$86:$C$113,2,FALSE)</f>
        <v>6282736.41368793</v>
      </c>
    </row>
    <row r="37" spans="1:7" ht="9.75">
      <c r="A37" s="20">
        <f>A36+1</f>
        <v>16</v>
      </c>
      <c r="B37" s="1" t="s">
        <v>10</v>
      </c>
      <c r="C37" s="10">
        <f>C31-C36</f>
        <v>503675.540929036</v>
      </c>
      <c r="D37" s="10">
        <f>D31-D36</f>
        <v>639882.3945924221</v>
      </c>
      <c r="E37" s="10">
        <f>E31-E36</f>
        <v>597890.3553673199</v>
      </c>
      <c r="F37" s="10">
        <f>F31-F36</f>
        <v>618552.8993284041</v>
      </c>
      <c r="G37" s="8">
        <f>G31-G36</f>
        <v>2360001.190217181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11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Reg HD Plus Flats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Reg HD Plus Flats FY23</v>
      </c>
      <c r="C12" s="63">
        <f>VLOOKUP($B$4,'RPW Vol and Rev'!$B$8:$H$43,MATCH('Reg Letters'!C$8,'RPW Vol and Rev'!$B$8:$H$8,FALSE),FALSE)</f>
        <v>199637077</v>
      </c>
      <c r="D12" s="21">
        <f>VLOOKUP($B$4,'RPW Vol and Rev'!$K$8:$P$43,MATCH('Reg Letters'!D$8,'RPW Vol and Rev'!$K$8:$P$8,FALSE),FALSE)</f>
        <v>91368071</v>
      </c>
      <c r="E12" s="22">
        <f>VLOOKUP($B$4,'RPW Vol and Rev'!$K$8:$P$43,MATCH('Reg Letters'!E$8,'RPW Vol and Rev'!$K$8:$P$8,FALSE),FALSE)</f>
        <v>146959657.58278266</v>
      </c>
      <c r="F12" s="22">
        <f>VLOOKUP($B$4,'RPW Vol and Rev'!$K$8:$P$43,MATCH('Reg Letters'!F$8,'RPW Vol and Rev'!$K$8:$P$8,FALSE),FALSE)</f>
        <v>148258717.5678809</v>
      </c>
      <c r="G12" s="13">
        <f>SUM(C12:F12)</f>
        <v>586223523.1506635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Reg HD Plus Flats FY23</v>
      </c>
      <c r="C13" s="12">
        <f>C12*Inputs!$C$14</f>
        <v>167427531.07557678</v>
      </c>
      <c r="D13" s="13">
        <f>D12*Inputs!$C$14</f>
        <v>76626700.69381954</v>
      </c>
      <c r="E13" s="13">
        <f>E12*Inputs!$C$14</f>
        <v>123249112.87294327</v>
      </c>
      <c r="F13" s="13">
        <f>F12*Inputs!$C$14</f>
        <v>124338581.86984746</v>
      </c>
      <c r="G13" s="13">
        <f>SUM(C13:F13)</f>
        <v>491641926.51218706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Reg HD Plus Flats FY23</v>
      </c>
      <c r="C14" s="12">
        <f>C13*Inputs!$C$15</f>
        <v>83713765.53778839</v>
      </c>
      <c r="D14" s="13">
        <f>D13*Inputs!$C$15</f>
        <v>38313350.34690977</v>
      </c>
      <c r="E14" s="13">
        <f>E13*Inputs!$C$15</f>
        <v>61624556.43647163</v>
      </c>
      <c r="F14" s="13">
        <f>F13*Inputs!$C$15</f>
        <v>62169290.93492373</v>
      </c>
      <c r="G14" s="13">
        <f>SUM(C14:F14)</f>
        <v>245820963.25609353</v>
      </c>
    </row>
    <row r="15" spans="1:7" ht="9.75">
      <c r="A15" s="20">
        <f>A14+1</f>
        <v>4</v>
      </c>
      <c r="B15" s="1" t="s">
        <v>128</v>
      </c>
      <c r="C15" s="12">
        <f>C14*Inputs!$C$8</f>
        <v>83713765.53778839</v>
      </c>
      <c r="D15" s="13">
        <f>D14*Inputs!$C$8</f>
        <v>38313350.34690977</v>
      </c>
      <c r="E15" s="13">
        <f>E14*Inputs!$C$8</f>
        <v>61624556.43647163</v>
      </c>
      <c r="F15" s="13">
        <f>F14*Inputs!$C$8</f>
        <v>62169290.93492373</v>
      </c>
      <c r="G15" s="13">
        <f>SUM(C15:F15)</f>
        <v>245820963.25609353</v>
      </c>
    </row>
    <row r="16" spans="1:7" ht="9.75">
      <c r="A16" s="20">
        <f>A15+1</f>
        <v>5</v>
      </c>
      <c r="B16" s="1" t="s">
        <v>62</v>
      </c>
      <c r="C16" s="12">
        <f>C15+C23</f>
        <v>93089707.2780207</v>
      </c>
      <c r="D16" s="13">
        <f>D15+D23</f>
        <v>42604445.58576366</v>
      </c>
      <c r="E16" s="13">
        <f>E15+E23</f>
        <v>68526506.75735646</v>
      </c>
      <c r="F16" s="13">
        <f>F15+F23</f>
        <v>69132251.51963519</v>
      </c>
      <c r="G16" s="13">
        <f>SUM(C16:F16)</f>
        <v>273352911.14077604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33485506.215115357</v>
      </c>
      <c r="D19" s="13">
        <f>D14*Inputs!$C$16</f>
        <v>15325340.138763908</v>
      </c>
      <c r="E19" s="13">
        <f>E14*Inputs!$C$16</f>
        <v>24649822.574588656</v>
      </c>
      <c r="F19" s="13">
        <f>F14*Inputs!$C$16</f>
        <v>24867716.373969495</v>
      </c>
      <c r="G19" s="13">
        <f>SUM(C19:F19)</f>
        <v>98328385.30243742</v>
      </c>
    </row>
    <row r="20" spans="1:7" ht="9.75">
      <c r="A20" s="20">
        <f>A19+1</f>
        <v>7</v>
      </c>
      <c r="B20" s="1" t="s">
        <v>5</v>
      </c>
      <c r="C20" s="12">
        <f>C19*Inputs!$C$8</f>
        <v>33485506.215115357</v>
      </c>
      <c r="D20" s="13">
        <f>D19*Inputs!$C$8</f>
        <v>15325340.138763908</v>
      </c>
      <c r="E20" s="13">
        <f>E19*Inputs!$C$8</f>
        <v>24649822.574588656</v>
      </c>
      <c r="F20" s="13">
        <f>F19*Inputs!$C$8</f>
        <v>24867716.373969495</v>
      </c>
      <c r="G20" s="13">
        <f>SUM(C20:F20)</f>
        <v>98328385.30243742</v>
      </c>
    </row>
    <row r="21" spans="1:7" ht="9.75">
      <c r="A21" s="20">
        <f>A20+1</f>
        <v>8</v>
      </c>
      <c r="B21" s="1" t="s">
        <v>62</v>
      </c>
      <c r="C21" s="12">
        <f>C20*(1+Inputs!$C$18)</f>
        <v>42861447.95534766</v>
      </c>
      <c r="D21" s="12">
        <f>D20*(1+Inputs!$C$18)</f>
        <v>19616435.377617802</v>
      </c>
      <c r="E21" s="12">
        <f>E20*(1+Inputs!$C$18)</f>
        <v>31551772.89547348</v>
      </c>
      <c r="F21" s="12">
        <f>F20*(1+Inputs!$C$18)</f>
        <v>31830676.958680954</v>
      </c>
      <c r="G21" s="13">
        <f>SUM(C21:F21)</f>
        <v>125860333.1871199</v>
      </c>
    </row>
    <row r="22" spans="1:7" ht="9.75">
      <c r="A22" s="20">
        <f>A21+1</f>
        <v>9</v>
      </c>
      <c r="B22" s="1" t="s">
        <v>12</v>
      </c>
      <c r="C22" s="12">
        <f>C21-C19</f>
        <v>9375941.7402323</v>
      </c>
      <c r="D22" s="13">
        <f>D21-D19</f>
        <v>4291095.238853894</v>
      </c>
      <c r="E22" s="13">
        <f>E21-E19</f>
        <v>6901950.320884824</v>
      </c>
      <c r="F22" s="13">
        <f>F21-F19</f>
        <v>6962960.5847114585</v>
      </c>
      <c r="G22" s="13">
        <f>SUM(C22:F22)</f>
        <v>27531947.884682477</v>
      </c>
    </row>
    <row r="23" spans="1:7" ht="9.75">
      <c r="A23" s="20">
        <f>A22+1</f>
        <v>10</v>
      </c>
      <c r="B23" s="47" t="s">
        <v>8</v>
      </c>
      <c r="C23" s="50">
        <f>C21-C20</f>
        <v>9375941.7402323</v>
      </c>
      <c r="D23" s="51">
        <f>D21-D20</f>
        <v>4291095.238853894</v>
      </c>
      <c r="E23" s="51">
        <f>E21-E20</f>
        <v>6901950.320884824</v>
      </c>
      <c r="F23" s="51">
        <f>F21-F20</f>
        <v>6962960.5847114585</v>
      </c>
      <c r="G23" s="51">
        <f>SUM(C23:F23)</f>
        <v>27531947.884682477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9412120.812356822</v>
      </c>
      <c r="D28" s="8">
        <f>D21*(D29/D23)</f>
        <v>4307653.345595697</v>
      </c>
      <c r="E28" s="8">
        <f>E21*(E29/E23)</f>
        <v>6928582.969143256</v>
      </c>
      <c r="F28" s="8">
        <f>F21*(F29/F23)</f>
        <v>6989828.654093067</v>
      </c>
      <c r="G28" s="13">
        <f>SUM(C28:F28)</f>
        <v>27638185.781188842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2058901.4277030549</v>
      </c>
      <c r="D29" s="8">
        <f>VLOOKUP($B$4,Inputs!$B$55:$C$82,2,FALSE)*D23</f>
        <v>942299.1693490586</v>
      </c>
      <c r="E29" s="8">
        <f>VLOOKUP($B$4,Inputs!$B$55:$C$82,2,FALSE)*E23</f>
        <v>1515627.5245000871</v>
      </c>
      <c r="F29" s="8">
        <f>VLOOKUP($B$4,Inputs!$B$55:$C$82,2,FALSE)*F23</f>
        <v>1529025.0180828583</v>
      </c>
      <c r="G29" s="8">
        <f>SUM(C29:F29)</f>
        <v>6045853.139635059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617670.4283109164</v>
      </c>
      <c r="D30" s="49">
        <f>VLOOKUP($B$4,Inputs!$B$21:$C$49,2,FALSE)*D29</f>
        <v>282689.7508047176</v>
      </c>
      <c r="E30" s="49">
        <f>VLOOKUP($B$4,Inputs!$B$21:$C$49,2,FALSE)*E29</f>
        <v>454688.2573500261</v>
      </c>
      <c r="F30" s="49">
        <f>VLOOKUP($B$4,Inputs!$B$21:$C$49,2,FALSE)*F29</f>
        <v>458707.5054248575</v>
      </c>
      <c r="G30" s="49">
        <f>SUM(C30:F30)</f>
        <v>1813755.9418905177</v>
      </c>
    </row>
    <row r="31" spans="1:7" ht="9.75">
      <c r="A31" s="20">
        <f>A30+1</f>
        <v>14</v>
      </c>
      <c r="B31" s="1" t="s">
        <v>43</v>
      </c>
      <c r="C31" s="10">
        <f>C29-C30</f>
        <v>1441230.9993921383</v>
      </c>
      <c r="D31" s="8">
        <f>D29-D30</f>
        <v>659609.4185443411</v>
      </c>
      <c r="E31" s="8">
        <f>E29-E30</f>
        <v>1060939.267150061</v>
      </c>
      <c r="F31" s="8">
        <f>F29-F30</f>
        <v>1070317.512658001</v>
      </c>
      <c r="G31" s="8">
        <f>SUM(C31:F31)</f>
        <v>4232097.197744542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1435181.5893435064</v>
      </c>
      <c r="D36" s="8">
        <f>D23*VLOOKUP($B$4,Inputs!$B$86:$C$113,2,FALSE)</f>
        <v>656840.7798969643</v>
      </c>
      <c r="E36" s="8">
        <f>E23*VLOOKUP($B$4,Inputs!$B$86:$C$113,2,FALSE)</f>
        <v>1056486.090201749</v>
      </c>
      <c r="F36" s="8">
        <f>F23*VLOOKUP($B$4,Inputs!$B$86:$C$113,2,FALSE)</f>
        <v>1065824.9715462492</v>
      </c>
      <c r="G36" s="8">
        <f>G23*VLOOKUP($B$4,Inputs!$B$86:$C$113,2,FALSE)</f>
        <v>4214333.430988469</v>
      </c>
    </row>
    <row r="37" spans="1:7" ht="9.75">
      <c r="A37" s="20">
        <f>A36+1</f>
        <v>16</v>
      </c>
      <c r="B37" s="1" t="s">
        <v>10</v>
      </c>
      <c r="C37" s="10">
        <f>C31-C36</f>
        <v>6049.410048631951</v>
      </c>
      <c r="D37" s="10">
        <f>D31-D36</f>
        <v>2768.6386473767925</v>
      </c>
      <c r="E37" s="10">
        <f>E31-E36</f>
        <v>4453.1769483119715</v>
      </c>
      <c r="F37" s="10">
        <f>F31-F36</f>
        <v>4492.541111751692</v>
      </c>
      <c r="G37" s="8">
        <f>G31-G36</f>
        <v>17763.76675607264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16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Reg HD Letters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Reg HD Letters FY23</v>
      </c>
      <c r="C12" s="63">
        <f>VLOOKUP($B$4,'RPW Vol and Rev'!$B$8:$H$43,MATCH('Reg Letters'!C$8,'RPW Vol and Rev'!$B$8:$H$8,FALSE),FALSE)</f>
        <v>604137082</v>
      </c>
      <c r="D12" s="21">
        <f>VLOOKUP($B$4,'RPW Vol and Rev'!$K$8:$P$43,MATCH('Reg Letters'!D$8,'RPW Vol and Rev'!$K$8:$P$8,FALSE),FALSE)</f>
        <v>474678251</v>
      </c>
      <c r="E12" s="22">
        <f>VLOOKUP($B$4,'RPW Vol and Rev'!$K$8:$P$43,MATCH('Reg Letters'!E$8,'RPW Vol and Rev'!$K$8:$P$8,FALSE),FALSE)</f>
        <v>500795232.93771106</v>
      </c>
      <c r="F12" s="22">
        <f>VLOOKUP($B$4,'RPW Vol and Rev'!$K$8:$P$43,MATCH('Reg Letters'!F$8,'RPW Vol and Rev'!$K$8:$P$8,FALSE),FALSE)</f>
        <v>529077865.5706966</v>
      </c>
      <c r="G12" s="13">
        <f>SUM(C12:F12)</f>
        <v>2108688431.5084076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Reg HD Letters FY23</v>
      </c>
      <c r="C13" s="12">
        <f>C12*Inputs!$C$14</f>
        <v>506665302.81077635</v>
      </c>
      <c r="D13" s="13">
        <f>D12*Inputs!$C$14</f>
        <v>398093424.40033287</v>
      </c>
      <c r="E13" s="13">
        <f>E12*Inputs!$C$14</f>
        <v>419996679.4002866</v>
      </c>
      <c r="F13" s="13">
        <f>F12*Inputs!$C$14</f>
        <v>443716177.92839974</v>
      </c>
      <c r="G13" s="13">
        <f>SUM(C13:F13)</f>
        <v>1768471584.5397956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Reg HD Letters FY23</v>
      </c>
      <c r="C14" s="12">
        <f>C13*Inputs!$C$15</f>
        <v>253332651.40538818</v>
      </c>
      <c r="D14" s="13">
        <f>D13*Inputs!$C$15</f>
        <v>199046712.20016643</v>
      </c>
      <c r="E14" s="13">
        <f>E13*Inputs!$C$15</f>
        <v>209998339.7001433</v>
      </c>
      <c r="F14" s="13">
        <f>F13*Inputs!$C$15</f>
        <v>221858088.96419987</v>
      </c>
      <c r="G14" s="13">
        <f>SUM(C14:F14)</f>
        <v>884235792.2698978</v>
      </c>
    </row>
    <row r="15" spans="1:7" ht="9.75">
      <c r="A15" s="20">
        <f>A14+1</f>
        <v>4</v>
      </c>
      <c r="B15" s="1" t="s">
        <v>128</v>
      </c>
      <c r="C15" s="12">
        <f>C14*Inputs!$C$8</f>
        <v>253332651.40538818</v>
      </c>
      <c r="D15" s="13">
        <f>D14*Inputs!$C$8</f>
        <v>199046712.20016643</v>
      </c>
      <c r="E15" s="13">
        <f>E14*Inputs!$C$8</f>
        <v>209998339.7001433</v>
      </c>
      <c r="F15" s="13">
        <f>F14*Inputs!$C$8</f>
        <v>221858088.96419987</v>
      </c>
      <c r="G15" s="13">
        <f>SUM(C15:F15)</f>
        <v>884235792.2698978</v>
      </c>
    </row>
    <row r="16" spans="1:7" ht="9.75">
      <c r="A16" s="20">
        <f>A15+1</f>
        <v>5</v>
      </c>
      <c r="B16" s="1" t="s">
        <v>62</v>
      </c>
      <c r="C16" s="12">
        <f>C15+C23</f>
        <v>281705908.36279166</v>
      </c>
      <c r="D16" s="13">
        <f>D15+D23</f>
        <v>221339943.96658507</v>
      </c>
      <c r="E16" s="13">
        <f>E15+E23</f>
        <v>233518153.74655938</v>
      </c>
      <c r="F16" s="13">
        <f>F15+F23</f>
        <v>246706194.92819026</v>
      </c>
      <c r="G16" s="13">
        <f>SUM(C16:F16)</f>
        <v>983270201.0041263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101333060.56215528</v>
      </c>
      <c r="D19" s="13">
        <f>D14*Inputs!$C$16</f>
        <v>79618684.88006657</v>
      </c>
      <c r="E19" s="13">
        <f>E14*Inputs!$C$16</f>
        <v>83999335.88005733</v>
      </c>
      <c r="F19" s="13">
        <f>F14*Inputs!$C$16</f>
        <v>88743235.58567995</v>
      </c>
      <c r="G19" s="13">
        <f>SUM(C19:F19)</f>
        <v>353694316.9079591</v>
      </c>
    </row>
    <row r="20" spans="1:7" ht="9.75">
      <c r="A20" s="20">
        <f>A19+1</f>
        <v>7</v>
      </c>
      <c r="B20" s="1" t="s">
        <v>5</v>
      </c>
      <c r="C20" s="12">
        <f>C19*Inputs!$C$8</f>
        <v>101333060.56215528</v>
      </c>
      <c r="D20" s="13">
        <f>D19*Inputs!$C$8</f>
        <v>79618684.88006657</v>
      </c>
      <c r="E20" s="13">
        <f>E19*Inputs!$C$8</f>
        <v>83999335.88005733</v>
      </c>
      <c r="F20" s="13">
        <f>F19*Inputs!$C$8</f>
        <v>88743235.58567995</v>
      </c>
      <c r="G20" s="13">
        <f>SUM(C20:F20)</f>
        <v>353694316.9079591</v>
      </c>
    </row>
    <row r="21" spans="1:7" ht="9.75">
      <c r="A21" s="20">
        <f>A20+1</f>
        <v>8</v>
      </c>
      <c r="B21" s="1" t="s">
        <v>62</v>
      </c>
      <c r="C21" s="12">
        <f>C20*(1+Inputs!$C$18)</f>
        <v>129706317.51955876</v>
      </c>
      <c r="D21" s="12">
        <f>D20*(1+Inputs!$C$18)</f>
        <v>101911916.64648521</v>
      </c>
      <c r="E21" s="12">
        <f>E20*(1+Inputs!$C$18)</f>
        <v>107519149.9264734</v>
      </c>
      <c r="F21" s="12">
        <f>F20*(1+Inputs!$C$18)</f>
        <v>113591341.54967034</v>
      </c>
      <c r="G21" s="13">
        <f>SUM(C21:F21)</f>
        <v>452728725.6421877</v>
      </c>
    </row>
    <row r="22" spans="1:7" ht="9.75">
      <c r="A22" s="20">
        <f>A21+1</f>
        <v>9</v>
      </c>
      <c r="B22" s="1" t="s">
        <v>12</v>
      </c>
      <c r="C22" s="12">
        <f>C21-C19</f>
        <v>28373256.95740348</v>
      </c>
      <c r="D22" s="13">
        <f>D21-D19</f>
        <v>22293231.766418636</v>
      </c>
      <c r="E22" s="13">
        <f>E21-E19</f>
        <v>23519814.04641606</v>
      </c>
      <c r="F22" s="13">
        <f>F21-F19</f>
        <v>24848105.96399039</v>
      </c>
      <c r="G22" s="13">
        <f>SUM(C22:F22)</f>
        <v>99034408.73422857</v>
      </c>
    </row>
    <row r="23" spans="1:7" ht="9.75">
      <c r="A23" s="20">
        <f>A22+1</f>
        <v>10</v>
      </c>
      <c r="B23" s="47" t="s">
        <v>8</v>
      </c>
      <c r="C23" s="50">
        <f>C21-C20</f>
        <v>28373256.95740348</v>
      </c>
      <c r="D23" s="51">
        <f>D21-D20</f>
        <v>22293231.766418636</v>
      </c>
      <c r="E23" s="51">
        <f>E21-E20</f>
        <v>23519814.04641606</v>
      </c>
      <c r="F23" s="51">
        <f>F21-F20</f>
        <v>24848105.96399039</v>
      </c>
      <c r="G23" s="51">
        <f>SUM(C23:F23)</f>
        <v>99034408.73422857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30618873.28233658</v>
      </c>
      <c r="D28" s="8">
        <f>D21*(D29/D23)</f>
        <v>24057641.304080974</v>
      </c>
      <c r="E28" s="8">
        <f>E21*(E29/E23)</f>
        <v>25381302.082890533</v>
      </c>
      <c r="F28" s="8">
        <f>F21*(F29/F23)</f>
        <v>26814722.361965965</v>
      </c>
      <c r="G28" s="13">
        <f>SUM(C28:F28)</f>
        <v>106872539.03127407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6697878.530511128</v>
      </c>
      <c r="D29" s="8">
        <f>VLOOKUP($B$4,Inputs!$B$55:$C$82,2,FALSE)*D23</f>
        <v>5262609.035267713</v>
      </c>
      <c r="E29" s="8">
        <f>VLOOKUP($B$4,Inputs!$B$55:$C$82,2,FALSE)*E23</f>
        <v>5552159.830632305</v>
      </c>
      <c r="F29" s="8">
        <f>VLOOKUP($B$4,Inputs!$B$55:$C$82,2,FALSE)*F23</f>
        <v>5865720.516680056</v>
      </c>
      <c r="G29" s="8">
        <f>SUM(C29:F29)</f>
        <v>23378367.913091198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2009363.5591533382</v>
      </c>
      <c r="D30" s="49">
        <f>VLOOKUP($B$4,Inputs!$B$21:$C$49,2,FALSE)*D29</f>
        <v>1578782.7105803138</v>
      </c>
      <c r="E30" s="49">
        <f>VLOOKUP($B$4,Inputs!$B$21:$C$49,2,FALSE)*E29</f>
        <v>1665647.9491896913</v>
      </c>
      <c r="F30" s="49">
        <f>VLOOKUP($B$4,Inputs!$B$21:$C$49,2,FALSE)*F29</f>
        <v>1759716.1550040168</v>
      </c>
      <c r="G30" s="49">
        <f>SUM(C30:F30)</f>
        <v>7013510.37392736</v>
      </c>
    </row>
    <row r="31" spans="1:7" ht="9.75">
      <c r="A31" s="20">
        <f>A30+1</f>
        <v>14</v>
      </c>
      <c r="B31" s="1" t="s">
        <v>43</v>
      </c>
      <c r="C31" s="10">
        <f>C29-C30</f>
        <v>4688514.97135779</v>
      </c>
      <c r="D31" s="8">
        <f>D29-D30</f>
        <v>3683826.324687399</v>
      </c>
      <c r="E31" s="8">
        <f>E29-E30</f>
        <v>3886511.8814426134</v>
      </c>
      <c r="F31" s="8">
        <f>F29-F30</f>
        <v>4106004.361676039</v>
      </c>
      <c r="G31" s="8">
        <f>SUM(C31:F31)</f>
        <v>16364857.539163841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2857561.261795587</v>
      </c>
      <c r="D36" s="8">
        <f>D23*VLOOKUP($B$4,Inputs!$B$86:$C$113,2,FALSE)</f>
        <v>2245222.5203326982</v>
      </c>
      <c r="E36" s="8">
        <f>E23*VLOOKUP($B$4,Inputs!$B$86:$C$113,2,FALSE)</f>
        <v>2368755.5364044034</v>
      </c>
      <c r="F36" s="8">
        <f>F23*VLOOKUP($B$4,Inputs!$B$86:$C$113,2,FALSE)</f>
        <v>2502532.054684099</v>
      </c>
      <c r="G36" s="8">
        <f>G23*VLOOKUP($B$4,Inputs!$B$86:$C$113,2,FALSE)</f>
        <v>9974071.373216787</v>
      </c>
    </row>
    <row r="37" spans="1:7" ht="9.75">
      <c r="A37" s="20">
        <f>A36+1</f>
        <v>16</v>
      </c>
      <c r="B37" s="1" t="s">
        <v>10</v>
      </c>
      <c r="C37" s="10">
        <f>C31-C36</f>
        <v>1830953.709562203</v>
      </c>
      <c r="D37" s="10">
        <f>D31-D36</f>
        <v>1438603.8043547007</v>
      </c>
      <c r="E37" s="10">
        <f>E31-E36</f>
        <v>1517756.34503821</v>
      </c>
      <c r="F37" s="10">
        <f>F31-F36</f>
        <v>1603472.3069919404</v>
      </c>
      <c r="G37" s="8">
        <f>G31-G36</f>
        <v>6390786.165947054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18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Reg HD Flats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Reg HD Flats FY23</v>
      </c>
      <c r="C12" s="63">
        <f>VLOOKUP($B$4,'RPW Vol and Rev'!$B$8:$H$43,MATCH('Reg Letters'!C$8,'RPW Vol and Rev'!$B$8:$H$8,FALSE),FALSE)</f>
        <v>443720884</v>
      </c>
      <c r="D12" s="21">
        <f>VLOOKUP($B$4,'RPW Vol and Rev'!$K$8:$P$43,MATCH('Reg Letters'!D$8,'RPW Vol and Rev'!$K$8:$P$8,FALSE),FALSE)</f>
        <v>205082092</v>
      </c>
      <c r="E12" s="22">
        <f>VLOOKUP($B$4,'RPW Vol and Rev'!$K$8:$P$43,MATCH('Reg Letters'!E$8,'RPW Vol and Rev'!$K$8:$P$8,FALSE),FALSE)</f>
        <v>347343712.1584972</v>
      </c>
      <c r="F12" s="22">
        <f>VLOOKUP($B$4,'RPW Vol and Rev'!$K$8:$P$43,MATCH('Reg Letters'!F$8,'RPW Vol and Rev'!$K$8:$P$8,FALSE),FALSE)</f>
        <v>328782121.5010713</v>
      </c>
      <c r="G12" s="13">
        <f>SUM(C12:F12)</f>
        <v>1324928809.6595685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Reg HD Flats FY23</v>
      </c>
      <c r="C13" s="12">
        <f>C12*Inputs!$C$14</f>
        <v>372130734.48672265</v>
      </c>
      <c r="D13" s="13">
        <f>D12*Inputs!$C$14</f>
        <v>171994044.63016805</v>
      </c>
      <c r="E13" s="13">
        <f>E12*Inputs!$C$14</f>
        <v>291303103.78829575</v>
      </c>
      <c r="F13" s="13">
        <f>F12*Inputs!$C$14</f>
        <v>275736249.45788336</v>
      </c>
      <c r="G13" s="13">
        <f>SUM(C13:F13)</f>
        <v>1111164132.3630698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Reg HD Flats FY23</v>
      </c>
      <c r="C14" s="12">
        <f>C13*Inputs!$C$15</f>
        <v>186065367.24336132</v>
      </c>
      <c r="D14" s="13">
        <f>D13*Inputs!$C$15</f>
        <v>85997022.31508403</v>
      </c>
      <c r="E14" s="13">
        <f>E13*Inputs!$C$15</f>
        <v>145651551.89414787</v>
      </c>
      <c r="F14" s="13">
        <f>F13*Inputs!$C$15</f>
        <v>137868124.72894168</v>
      </c>
      <c r="G14" s="13">
        <f>SUM(C14:F14)</f>
        <v>555582066.1815349</v>
      </c>
    </row>
    <row r="15" spans="1:7" ht="9.75">
      <c r="A15" s="20">
        <f>A14+1</f>
        <v>4</v>
      </c>
      <c r="B15" s="1" t="s">
        <v>128</v>
      </c>
      <c r="C15" s="12">
        <f>C14*Inputs!$C$8</f>
        <v>186065367.24336132</v>
      </c>
      <c r="D15" s="13">
        <f>D14*Inputs!$C$8</f>
        <v>85997022.31508403</v>
      </c>
      <c r="E15" s="13">
        <f>E14*Inputs!$C$8</f>
        <v>145651551.89414787</v>
      </c>
      <c r="F15" s="13">
        <f>F14*Inputs!$C$8</f>
        <v>137868124.72894168</v>
      </c>
      <c r="G15" s="13">
        <f>SUM(C15:F15)</f>
        <v>555582066.1815349</v>
      </c>
    </row>
    <row r="16" spans="1:7" ht="9.75">
      <c r="A16" s="20">
        <f>A15+1</f>
        <v>5</v>
      </c>
      <c r="B16" s="1" t="s">
        <v>62</v>
      </c>
      <c r="C16" s="12">
        <f>C15+C23</f>
        <v>206904688.37461782</v>
      </c>
      <c r="D16" s="13">
        <f>D15+D23</f>
        <v>95628688.81437343</v>
      </c>
      <c r="E16" s="13">
        <f>E15+E23</f>
        <v>161964525.70629245</v>
      </c>
      <c r="F16" s="13">
        <f>F15+F23</f>
        <v>153309354.69858316</v>
      </c>
      <c r="G16" s="13">
        <f>SUM(C16:F16)</f>
        <v>617807257.5938668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74426146.89734453</v>
      </c>
      <c r="D19" s="13">
        <f>D14*Inputs!$C$16</f>
        <v>34398808.92603361</v>
      </c>
      <c r="E19" s="13">
        <f>E14*Inputs!$C$16</f>
        <v>58260620.75765915</v>
      </c>
      <c r="F19" s="13">
        <f>F14*Inputs!$C$16</f>
        <v>55147249.89157668</v>
      </c>
      <c r="G19" s="13">
        <f>SUM(C19:F19)</f>
        <v>222232826.47261396</v>
      </c>
    </row>
    <row r="20" spans="1:7" ht="9.75">
      <c r="A20" s="20">
        <f>A19+1</f>
        <v>7</v>
      </c>
      <c r="B20" s="1" t="s">
        <v>5</v>
      </c>
      <c r="C20" s="12">
        <f>C19*Inputs!$C$8</f>
        <v>74426146.89734453</v>
      </c>
      <c r="D20" s="13">
        <f>D19*Inputs!$C$8</f>
        <v>34398808.92603361</v>
      </c>
      <c r="E20" s="13">
        <f>E19*Inputs!$C$8</f>
        <v>58260620.75765915</v>
      </c>
      <c r="F20" s="13">
        <f>F19*Inputs!$C$8</f>
        <v>55147249.89157668</v>
      </c>
      <c r="G20" s="13">
        <f>SUM(C20:F20)</f>
        <v>222232826.47261396</v>
      </c>
    </row>
    <row r="21" spans="1:7" ht="9.75">
      <c r="A21" s="20">
        <f>A20+1</f>
        <v>8</v>
      </c>
      <c r="B21" s="1" t="s">
        <v>62</v>
      </c>
      <c r="C21" s="12">
        <f>C20*(1+Inputs!$C$18)</f>
        <v>95265468.028601</v>
      </c>
      <c r="D21" s="12">
        <f>D20*(1+Inputs!$C$18)</f>
        <v>44030475.42532302</v>
      </c>
      <c r="E21" s="12">
        <f>E20*(1+Inputs!$C$18)</f>
        <v>74573594.56980371</v>
      </c>
      <c r="F21" s="12">
        <f>F20*(1+Inputs!$C$18)</f>
        <v>70588479.86121815</v>
      </c>
      <c r="G21" s="13">
        <f>SUM(C21:F21)</f>
        <v>284458017.88494587</v>
      </c>
    </row>
    <row r="22" spans="1:7" ht="9.75">
      <c r="A22" s="20">
        <f>A21+1</f>
        <v>9</v>
      </c>
      <c r="B22" s="1" t="s">
        <v>12</v>
      </c>
      <c r="C22" s="12">
        <f>C21-C19</f>
        <v>20839321.131256476</v>
      </c>
      <c r="D22" s="13">
        <f>D21-D19</f>
        <v>9631666.499289408</v>
      </c>
      <c r="E22" s="13">
        <f>E21-E19</f>
        <v>16312973.812144563</v>
      </c>
      <c r="F22" s="13">
        <f>F21-F19</f>
        <v>15441229.969641477</v>
      </c>
      <c r="G22" s="13">
        <f>SUM(C22:F22)</f>
        <v>62225191.412331924</v>
      </c>
    </row>
    <row r="23" spans="1:7" ht="9.75">
      <c r="A23" s="20">
        <f>A22+1</f>
        <v>10</v>
      </c>
      <c r="B23" s="47" t="s">
        <v>8</v>
      </c>
      <c r="C23" s="50">
        <f>C21-C20</f>
        <v>20839321.131256476</v>
      </c>
      <c r="D23" s="51">
        <f>D21-D20</f>
        <v>9631666.499289408</v>
      </c>
      <c r="E23" s="51">
        <f>E21-E20</f>
        <v>16312973.812144563</v>
      </c>
      <c r="F23" s="51">
        <f>F21-F20</f>
        <v>15441229.969641477</v>
      </c>
      <c r="G23" s="51">
        <f>SUM(C23:F23)</f>
        <v>62225191.412331924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25944657.564947642</v>
      </c>
      <c r="D28" s="8">
        <f>D21*(D29/D23)</f>
        <v>11991287.40950378</v>
      </c>
      <c r="E28" s="8">
        <f>E21*(E29/E23)</f>
        <v>20309419.714601375</v>
      </c>
      <c r="F28" s="8">
        <f>F21*(F29/F23)</f>
        <v>19224111.06487903</v>
      </c>
      <c r="G28" s="13">
        <f>SUM(C28:F28)</f>
        <v>77469475.75393182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5675393.842332299</v>
      </c>
      <c r="D29" s="8">
        <f>VLOOKUP($B$4,Inputs!$B$55:$C$82,2,FALSE)*D23</f>
        <v>2623094.1208289512</v>
      </c>
      <c r="E29" s="8">
        <f>VLOOKUP($B$4,Inputs!$B$55:$C$82,2,FALSE)*E23</f>
        <v>4442685.562569051</v>
      </c>
      <c r="F29" s="8">
        <f>VLOOKUP($B$4,Inputs!$B$55:$C$82,2,FALSE)*F23</f>
        <v>4205274.295442289</v>
      </c>
      <c r="G29" s="8">
        <f>SUM(C29:F29)</f>
        <v>16946447.821172588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1702618.1526996896</v>
      </c>
      <c r="D30" s="49">
        <f>VLOOKUP($B$4,Inputs!$B$21:$C$49,2,FALSE)*D29</f>
        <v>786928.2362486854</v>
      </c>
      <c r="E30" s="49">
        <f>VLOOKUP($B$4,Inputs!$B$21:$C$49,2,FALSE)*E29</f>
        <v>1332805.6687707154</v>
      </c>
      <c r="F30" s="49">
        <f>VLOOKUP($B$4,Inputs!$B$21:$C$49,2,FALSE)*F29</f>
        <v>1261582.2886326865</v>
      </c>
      <c r="G30" s="49">
        <f>SUM(C30:F30)</f>
        <v>5083934.346351776</v>
      </c>
    </row>
    <row r="31" spans="1:7" ht="9.75">
      <c r="A31" s="20">
        <f>A30+1</f>
        <v>14</v>
      </c>
      <c r="B31" s="1" t="s">
        <v>43</v>
      </c>
      <c r="C31" s="10">
        <f>C29-C30</f>
        <v>3972775.6896326095</v>
      </c>
      <c r="D31" s="8">
        <f>D29-D30</f>
        <v>1836165.8845802657</v>
      </c>
      <c r="E31" s="8">
        <f>E29-E30</f>
        <v>3109879.8937983355</v>
      </c>
      <c r="F31" s="8">
        <f>F29-F30</f>
        <v>2943692.0068096025</v>
      </c>
      <c r="G31" s="8">
        <f>SUM(C31:F31)</f>
        <v>11862513.474820815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3189888.6373898666</v>
      </c>
      <c r="D36" s="8">
        <f>D23*VLOOKUP($B$4,Inputs!$B$86:$C$113,2,FALSE)</f>
        <v>1474325.5469646608</v>
      </c>
      <c r="E36" s="8">
        <f>E23*VLOOKUP($B$4,Inputs!$B$86:$C$113,2,FALSE)</f>
        <v>2497037.666325406</v>
      </c>
      <c r="F36" s="8">
        <f>F23*VLOOKUP($B$4,Inputs!$B$86:$C$113,2,FALSE)</f>
        <v>2363599.261091353</v>
      </c>
      <c r="G36" s="8">
        <f>G23*VLOOKUP($B$4,Inputs!$B$86:$C$113,2,FALSE)</f>
        <v>9524851.111771287</v>
      </c>
    </row>
    <row r="37" spans="1:7" ht="9.75">
      <c r="A37" s="20">
        <f>A36+1</f>
        <v>16</v>
      </c>
      <c r="B37" s="1" t="s">
        <v>10</v>
      </c>
      <c r="C37" s="10">
        <f>C31-C36</f>
        <v>782887.0522427429</v>
      </c>
      <c r="D37" s="10">
        <f>D31-D36</f>
        <v>361840.337615605</v>
      </c>
      <c r="E37" s="10">
        <f>E31-E36</f>
        <v>612842.2274729293</v>
      </c>
      <c r="F37" s="10">
        <f>F31-F36</f>
        <v>580092.7457182496</v>
      </c>
      <c r="G37" s="8">
        <f>G31-G36</f>
        <v>2337662.3630495276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72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Reg Parcels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Reg Parcels FY23</v>
      </c>
      <c r="C12" s="63">
        <f>VLOOKUP($B$4,'RPW Vol and Rev'!$B$8:$H$43,MATCH('Reg Letters'!C$8,'RPW Vol and Rev'!$B$8:$H$8,FALSE),FALSE)</f>
        <v>4464612</v>
      </c>
      <c r="D12" s="21">
        <f>VLOOKUP($B$4,'RPW Vol and Rev'!$K$8:$P$43,MATCH('Reg Letters'!D$8,'RPW Vol and Rev'!$K$8:$P$8,FALSE),FALSE)</f>
        <v>3570368</v>
      </c>
      <c r="E12" s="22">
        <f>VLOOKUP($B$4,'RPW Vol and Rev'!$K$8:$P$43,MATCH('Reg Letters'!E$8,'RPW Vol and Rev'!$K$8:$P$8,FALSE),FALSE)</f>
        <v>2694512.5571938166</v>
      </c>
      <c r="F12" s="22">
        <f>VLOOKUP($B$4,'RPW Vol and Rev'!$K$8:$P$43,MATCH('Reg Letters'!F$8,'RPW Vol and Rev'!$K$8:$P$8,FALSE),FALSE)</f>
        <v>2875061.2221522173</v>
      </c>
      <c r="G12" s="13">
        <f>SUM(C12:F12)</f>
        <v>13604553.779346034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Reg Parcels FY23</v>
      </c>
      <c r="C13" s="12">
        <f>C12*Inputs!$C$14</f>
        <v>3744289.2653171485</v>
      </c>
      <c r="D13" s="13">
        <f>D12*Inputs!$C$14</f>
        <v>2994323.0398591985</v>
      </c>
      <c r="E13" s="13">
        <f>E12*Inputs!$C$14</f>
        <v>2259778.552573676</v>
      </c>
      <c r="F13" s="13">
        <f>F12*Inputs!$C$14</f>
        <v>2411197.4055604716</v>
      </c>
      <c r="G13" s="13">
        <f>SUM(C13:F13)</f>
        <v>11409588.263310496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Reg Parcels FY23</v>
      </c>
      <c r="C14" s="12">
        <f>C13*Inputs!$C$15</f>
        <v>1872144.6326585743</v>
      </c>
      <c r="D14" s="13">
        <f>D13*Inputs!$C$15</f>
        <v>1497161.5199295992</v>
      </c>
      <c r="E14" s="13">
        <f>E13*Inputs!$C$15</f>
        <v>1129889.276286838</v>
      </c>
      <c r="F14" s="13">
        <f>F13*Inputs!$C$15</f>
        <v>1205598.7027802358</v>
      </c>
      <c r="G14" s="13">
        <f>SUM(C14:F14)</f>
        <v>5704794.131655248</v>
      </c>
    </row>
    <row r="15" spans="1:7" ht="9.75">
      <c r="A15" s="20">
        <f>A14+1</f>
        <v>4</v>
      </c>
      <c r="B15" s="1" t="s">
        <v>128</v>
      </c>
      <c r="C15" s="12">
        <f>C14*Inputs!$C$8</f>
        <v>1872144.6326585743</v>
      </c>
      <c r="D15" s="13">
        <f>D14*Inputs!$C$8</f>
        <v>1497161.5199295992</v>
      </c>
      <c r="E15" s="13">
        <f>E14*Inputs!$C$8</f>
        <v>1129889.276286838</v>
      </c>
      <c r="F15" s="13">
        <f>F14*Inputs!$C$8</f>
        <v>1205598.7027802358</v>
      </c>
      <c r="G15" s="13">
        <f>SUM(C15:F15)</f>
        <v>5704794.131655248</v>
      </c>
    </row>
    <row r="16" spans="1:7" ht="9.75">
      <c r="A16" s="20">
        <f>A15+1</f>
        <v>5</v>
      </c>
      <c r="B16" s="1" t="s">
        <v>62</v>
      </c>
      <c r="C16" s="12">
        <f>C15+C23</f>
        <v>2081824.8315163346</v>
      </c>
      <c r="D16" s="13">
        <f>D15+D23</f>
        <v>1664843.6101617143</v>
      </c>
      <c r="E16" s="13">
        <f>E15+E23</f>
        <v>1256436.875230964</v>
      </c>
      <c r="F16" s="13">
        <f>F15+F23</f>
        <v>1340625.7574916221</v>
      </c>
      <c r="G16" s="13">
        <f>SUM(C16:F16)</f>
        <v>6343731.074400635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748857.8530634297</v>
      </c>
      <c r="D19" s="13">
        <f>D14*Inputs!$C$16</f>
        <v>598864.6079718397</v>
      </c>
      <c r="E19" s="13">
        <f>E14*Inputs!$C$16</f>
        <v>451955.71051473526</v>
      </c>
      <c r="F19" s="13">
        <f>F14*Inputs!$C$16</f>
        <v>482239.48111209436</v>
      </c>
      <c r="G19" s="13">
        <f>SUM(C19:F19)</f>
        <v>2281917.652662099</v>
      </c>
    </row>
    <row r="20" spans="1:7" ht="9.75">
      <c r="A20" s="20">
        <f>A19+1</f>
        <v>7</v>
      </c>
      <c r="B20" s="1" t="s">
        <v>5</v>
      </c>
      <c r="C20" s="12">
        <f>C19*Inputs!$C$8</f>
        <v>748857.8530634297</v>
      </c>
      <c r="D20" s="13">
        <f>D19*Inputs!$C$8</f>
        <v>598864.6079718397</v>
      </c>
      <c r="E20" s="13">
        <f>E19*Inputs!$C$8</f>
        <v>451955.71051473526</v>
      </c>
      <c r="F20" s="13">
        <f>F19*Inputs!$C$8</f>
        <v>482239.48111209436</v>
      </c>
      <c r="G20" s="13">
        <f>SUM(C20:F20)</f>
        <v>2281917.652662099</v>
      </c>
    </row>
    <row r="21" spans="1:7" ht="9.75">
      <c r="A21" s="20">
        <f>A20+1</f>
        <v>8</v>
      </c>
      <c r="B21" s="1" t="s">
        <v>62</v>
      </c>
      <c r="C21" s="12">
        <f>C20*(1+Inputs!$C$18)</f>
        <v>958538.05192119</v>
      </c>
      <c r="D21" s="12">
        <f>D20*(1+Inputs!$C$18)</f>
        <v>766546.6982039548</v>
      </c>
      <c r="E21" s="12">
        <f>E20*(1+Inputs!$C$18)</f>
        <v>578503.3094588611</v>
      </c>
      <c r="F21" s="12">
        <f>F20*(1+Inputs!$C$18)</f>
        <v>617266.5358234808</v>
      </c>
      <c r="G21" s="13">
        <f>SUM(C21:F21)</f>
        <v>2920854.5954074864</v>
      </c>
    </row>
    <row r="22" spans="1:7" ht="9.75">
      <c r="A22" s="20">
        <f>A21+1</f>
        <v>9</v>
      </c>
      <c r="B22" s="1" t="s">
        <v>12</v>
      </c>
      <c r="C22" s="12">
        <f>C21-C19</f>
        <v>209680.1988577603</v>
      </c>
      <c r="D22" s="13">
        <f>D21-D19</f>
        <v>167682.09023211512</v>
      </c>
      <c r="E22" s="13">
        <f>E21-E19</f>
        <v>126547.59894412587</v>
      </c>
      <c r="F22" s="13">
        <f>F21-F19</f>
        <v>135027.05471138644</v>
      </c>
      <c r="G22" s="13">
        <f>SUM(C22:F22)</f>
        <v>638936.9427453878</v>
      </c>
    </row>
    <row r="23" spans="1:7" ht="9.75">
      <c r="A23" s="20">
        <f>A22+1</f>
        <v>10</v>
      </c>
      <c r="B23" s="47" t="s">
        <v>8</v>
      </c>
      <c r="C23" s="50">
        <f>C21-C20</f>
        <v>209680.1988577603</v>
      </c>
      <c r="D23" s="51">
        <f>D21-D20</f>
        <v>167682.09023211512</v>
      </c>
      <c r="E23" s="51">
        <f>E21-E20</f>
        <v>126547.59894412587</v>
      </c>
      <c r="F23" s="51">
        <f>F21-F20</f>
        <v>135027.05471138644</v>
      </c>
      <c r="G23" s="51">
        <f>SUM(C23:F23)</f>
        <v>638936.9427453878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1588893.3767479823</v>
      </c>
      <c r="D28" s="8">
        <f>D21*(D29/D23)</f>
        <v>1270644.3623215053</v>
      </c>
      <c r="E28" s="8">
        <f>E21*(E29/E23)</f>
        <v>958939.579898438</v>
      </c>
      <c r="F28" s="8">
        <f>F21*(F29/F23)</f>
        <v>1023194.341103464</v>
      </c>
      <c r="G28" s="13">
        <f>SUM(C28:F28)</f>
        <v>4841671.66007139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347570.42616362113</v>
      </c>
      <c r="D29" s="8">
        <f>VLOOKUP($B$4,Inputs!$B$55:$C$82,2,FALSE)*D23</f>
        <v>277953.4542578293</v>
      </c>
      <c r="E29" s="8">
        <f>VLOOKUP($B$4,Inputs!$B$55:$C$82,2,FALSE)*E23</f>
        <v>209768.0331027833</v>
      </c>
      <c r="F29" s="8">
        <f>VLOOKUP($B$4,Inputs!$B$55:$C$82,2,FALSE)*F23</f>
        <v>223823.76211638277</v>
      </c>
      <c r="G29" s="8">
        <f>SUM(C29:F29)</f>
        <v>1059115.6756406163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104271.12784908633</v>
      </c>
      <c r="D30" s="49">
        <f>VLOOKUP($B$4,Inputs!$B$21:$C$49,2,FALSE)*D29</f>
        <v>83386.03627734879</v>
      </c>
      <c r="E30" s="49">
        <f>VLOOKUP($B$4,Inputs!$B$21:$C$49,2,FALSE)*E29</f>
        <v>62930.40993083498</v>
      </c>
      <c r="F30" s="49">
        <f>VLOOKUP($B$4,Inputs!$B$21:$C$49,2,FALSE)*F29</f>
        <v>67147.12863491483</v>
      </c>
      <c r="G30" s="49">
        <f>SUM(C30:F30)</f>
        <v>317734.70269218495</v>
      </c>
    </row>
    <row r="31" spans="1:7" ht="9.75">
      <c r="A31" s="20">
        <f>A30+1</f>
        <v>14</v>
      </c>
      <c r="B31" s="1" t="s">
        <v>43</v>
      </c>
      <c r="C31" s="10">
        <f>C29-C30</f>
        <v>243299.2983145348</v>
      </c>
      <c r="D31" s="8">
        <f>D29-D30</f>
        <v>194567.4179804805</v>
      </c>
      <c r="E31" s="8">
        <f>E29-E30</f>
        <v>146837.6231719483</v>
      </c>
      <c r="F31" s="8">
        <f>F29-F30</f>
        <v>156676.63348146796</v>
      </c>
      <c r="G31" s="8">
        <f>SUM(C31:F31)</f>
        <v>741380.9729484316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457238.608496287</v>
      </c>
      <c r="D36" s="8">
        <f>D23*VLOOKUP($B$4,Inputs!$B$86:$C$113,2,FALSE)</f>
        <v>365655.5365034344</v>
      </c>
      <c r="E36" s="8">
        <f>E23*VLOOKUP($B$4,Inputs!$B$86:$C$113,2,FALSE)</f>
        <v>275955.70952796633</v>
      </c>
      <c r="F36" s="8">
        <f>F23*VLOOKUP($B$4,Inputs!$B$86:$C$113,2,FALSE)</f>
        <v>294446.413833613</v>
      </c>
      <c r="G36" s="8">
        <f>G23*VLOOKUP($B$4,Inputs!$B$86:$C$113,2,FALSE)</f>
        <v>1393296.268361301</v>
      </c>
    </row>
    <row r="37" spans="1:7" ht="9.75">
      <c r="A37" s="20">
        <f>A36+1</f>
        <v>16</v>
      </c>
      <c r="B37" s="1" t="s">
        <v>10</v>
      </c>
      <c r="C37" s="10">
        <f>C31-C36</f>
        <v>-213939.31018175223</v>
      </c>
      <c r="D37" s="10">
        <f>D31-D36</f>
        <v>-171088.1185229539</v>
      </c>
      <c r="E37" s="10">
        <f>E31-E36</f>
        <v>-129118.08635601803</v>
      </c>
      <c r="F37" s="10">
        <f>F31-F36</f>
        <v>-137769.78035214503</v>
      </c>
      <c r="G37" s="8">
        <f>G31-G36</f>
        <v>-651915.2954128693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73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NP Letters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NP Letters FY23</v>
      </c>
      <c r="C12" s="63">
        <f>VLOOKUP($B$4,'RPW Vol and Rev'!$B$8:$H$43,MATCH('Reg Letters'!C$8,'RPW Vol and Rev'!$B$8:$H$8,FALSE),FALSE)</f>
        <v>2740242154</v>
      </c>
      <c r="D12" s="21">
        <f>VLOOKUP($B$4,'RPW Vol and Rev'!$K$8:$P$43,MATCH('Reg Letters'!D$8,'RPW Vol and Rev'!$K$8:$P$8,FALSE),FALSE)</f>
        <v>1910253959</v>
      </c>
      <c r="E12" s="22">
        <f>VLOOKUP($B$4,'RPW Vol and Rev'!$K$8:$P$43,MATCH('Reg Letters'!E$8,'RPW Vol and Rev'!$K$8:$P$8,FALSE),FALSE)</f>
        <v>1717275826.7523832</v>
      </c>
      <c r="F12" s="22">
        <f>VLOOKUP($B$4,'RPW Vol and Rev'!$K$8:$P$43,MATCH('Reg Letters'!F$8,'RPW Vol and Rev'!$K$8:$P$8,FALSE),FALSE)</f>
        <v>1836482420.9176257</v>
      </c>
      <c r="G12" s="13">
        <f>SUM(C12:F12)</f>
        <v>8204254360.670009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NP Letters FY23</v>
      </c>
      <c r="C13" s="12">
        <f>C12*Inputs!$C$14</f>
        <v>2298130113.342826</v>
      </c>
      <c r="D13" s="13">
        <f>D12*Inputs!$C$14</f>
        <v>1602052629.1452167</v>
      </c>
      <c r="E13" s="13">
        <f>E12*Inputs!$C$14</f>
        <v>1440209685.3427756</v>
      </c>
      <c r="F13" s="13">
        <f>F12*Inputs!$C$14</f>
        <v>1540183427.940774</v>
      </c>
      <c r="G13" s="13">
        <f>SUM(C13:F13)</f>
        <v>6880575855.771592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NP Letters FY23</v>
      </c>
      <c r="C14" s="12">
        <f>C13*Inputs!$C$15</f>
        <v>1149065056.671413</v>
      </c>
      <c r="D14" s="13">
        <f>D13*Inputs!$C$15</f>
        <v>801026314.5726084</v>
      </c>
      <c r="E14" s="13">
        <f>E13*Inputs!$C$15</f>
        <v>720104842.6713878</v>
      </c>
      <c r="F14" s="13">
        <f>F13*Inputs!$C$15</f>
        <v>770091713.970387</v>
      </c>
      <c r="G14" s="13">
        <f>SUM(C14:F14)</f>
        <v>3440287927.885796</v>
      </c>
    </row>
    <row r="15" spans="1:7" ht="9.75">
      <c r="A15" s="20">
        <f>A14+1</f>
        <v>4</v>
      </c>
      <c r="B15" s="1" t="s">
        <v>128</v>
      </c>
      <c r="C15" s="12">
        <f>C14*Inputs!$C$8</f>
        <v>1149065056.671413</v>
      </c>
      <c r="D15" s="13">
        <f>D14*Inputs!$C$8</f>
        <v>801026314.5726084</v>
      </c>
      <c r="E15" s="13">
        <f>E14*Inputs!$C$8</f>
        <v>720104842.6713878</v>
      </c>
      <c r="F15" s="13">
        <f>F14*Inputs!$C$8</f>
        <v>770091713.970387</v>
      </c>
      <c r="G15" s="13">
        <f>SUM(C15:F15)</f>
        <v>3440287927.885796</v>
      </c>
    </row>
    <row r="16" spans="1:7" ht="9.75">
      <c r="A16" s="20">
        <f>A15+1</f>
        <v>5</v>
      </c>
      <c r="B16" s="1" t="s">
        <v>62</v>
      </c>
      <c r="C16" s="12">
        <f>C15+C23</f>
        <v>1277760343.0186112</v>
      </c>
      <c r="D16" s="13">
        <f>D15+D23</f>
        <v>890741261.8047404</v>
      </c>
      <c r="E16" s="13">
        <f>E15+E23</f>
        <v>800756585.0505832</v>
      </c>
      <c r="F16" s="13">
        <f>F15+F23</f>
        <v>856341985.9350703</v>
      </c>
      <c r="G16" s="13">
        <f>SUM(C16:F16)</f>
        <v>3825600175.8090057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459626022.6685652</v>
      </c>
      <c r="D19" s="13">
        <f>D14*Inputs!$C$16</f>
        <v>320410525.8290433</v>
      </c>
      <c r="E19" s="13">
        <f>E14*Inputs!$C$16</f>
        <v>288041937.0685551</v>
      </c>
      <c r="F19" s="13">
        <f>F14*Inputs!$C$16</f>
        <v>308036685.5881548</v>
      </c>
      <c r="G19" s="13">
        <f>SUM(C19:F19)</f>
        <v>1376115171.1543183</v>
      </c>
    </row>
    <row r="20" spans="1:7" ht="9.75">
      <c r="A20" s="20">
        <f>A19+1</f>
        <v>7</v>
      </c>
      <c r="B20" s="1" t="s">
        <v>5</v>
      </c>
      <c r="C20" s="12">
        <f>C19*Inputs!$C$8</f>
        <v>459626022.6685652</v>
      </c>
      <c r="D20" s="13">
        <f>D19*Inputs!$C$8</f>
        <v>320410525.8290433</v>
      </c>
      <c r="E20" s="13">
        <f>E19*Inputs!$C$8</f>
        <v>288041937.0685551</v>
      </c>
      <c r="F20" s="13">
        <f>F19*Inputs!$C$8</f>
        <v>308036685.5881548</v>
      </c>
      <c r="G20" s="13">
        <f>SUM(C20:F20)</f>
        <v>1376115171.1543183</v>
      </c>
    </row>
    <row r="21" spans="1:9" ht="9.75">
      <c r="A21" s="20">
        <f>A20+1</f>
        <v>8</v>
      </c>
      <c r="B21" s="1" t="s">
        <v>62</v>
      </c>
      <c r="C21" s="12">
        <f>C20*(1+Inputs!$C$18)</f>
        <v>588321309.0157635</v>
      </c>
      <c r="D21" s="12">
        <f>D20*(1+Inputs!$C$18)</f>
        <v>410125473.06117547</v>
      </c>
      <c r="E21" s="12">
        <f>E20*(1+Inputs!$C$18)</f>
        <v>368693679.44775057</v>
      </c>
      <c r="F21" s="12">
        <f>F20*(1+Inputs!$C$18)</f>
        <v>394286957.55283815</v>
      </c>
      <c r="G21" s="13">
        <f>SUM(C21:F21)</f>
        <v>1761427419.0775278</v>
      </c>
      <c r="I21" s="52"/>
    </row>
    <row r="22" spans="1:9" ht="9.75">
      <c r="A22" s="20">
        <f>A21+1</f>
        <v>9</v>
      </c>
      <c r="B22" s="1" t="s">
        <v>12</v>
      </c>
      <c r="C22" s="12">
        <f>C21-C19</f>
        <v>128695286.34719831</v>
      </c>
      <c r="D22" s="13">
        <f>D21-D19</f>
        <v>89714947.23213214</v>
      </c>
      <c r="E22" s="13">
        <f>E21-E19</f>
        <v>80651742.37919545</v>
      </c>
      <c r="F22" s="13">
        <f>F21-F19</f>
        <v>86250271.96468335</v>
      </c>
      <c r="G22" s="13">
        <f>SUM(C22:F22)</f>
        <v>385312247.92320925</v>
      </c>
      <c r="I22" s="52"/>
    </row>
    <row r="23" spans="1:9" ht="9.75">
      <c r="A23" s="20">
        <f>A22+1</f>
        <v>10</v>
      </c>
      <c r="B23" s="47" t="s">
        <v>8</v>
      </c>
      <c r="C23" s="50">
        <f>C21-C20</f>
        <v>128695286.34719831</v>
      </c>
      <c r="D23" s="51">
        <f>D21-D20</f>
        <v>89714947.23213214</v>
      </c>
      <c r="E23" s="51">
        <f>E21-E20</f>
        <v>80651742.37919545</v>
      </c>
      <c r="F23" s="51">
        <f>F21-F20</f>
        <v>86250271.96468335</v>
      </c>
      <c r="G23" s="51">
        <f>SUM(C23:F23)</f>
        <v>385312247.92320925</v>
      </c>
      <c r="I23" s="52"/>
    </row>
    <row r="24" spans="3:7" ht="9.75">
      <c r="C24" s="37"/>
      <c r="D24" s="13"/>
      <c r="E24" s="13"/>
      <c r="F24" s="13"/>
      <c r="G24" s="13"/>
    </row>
    <row r="25" spans="2:7" ht="9.75">
      <c r="B25" s="52"/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84170419.92818804</v>
      </c>
      <c r="D28" s="8">
        <f>D21*(D29/D23)</f>
        <v>58676156.65418804</v>
      </c>
      <c r="E28" s="8">
        <f>E21*(E29/E23)</f>
        <v>52748559.92536285</v>
      </c>
      <c r="F28" s="8">
        <f>F21*(F29/F23)</f>
        <v>56410159.34804567</v>
      </c>
      <c r="G28" s="13">
        <f>SUM(C28:F28)</f>
        <v>252005295.8557846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18412279.359291136</v>
      </c>
      <c r="D29" s="8">
        <f>VLOOKUP($B$4,Inputs!$B$55:$C$82,2,FALSE)*D23</f>
        <v>12835409.268103633</v>
      </c>
      <c r="E29" s="8">
        <f>VLOOKUP($B$4,Inputs!$B$55:$C$82,2,FALSE)*E23</f>
        <v>11538747.483673126</v>
      </c>
      <c r="F29" s="8">
        <f>VLOOKUP($B$4,Inputs!$B$55:$C$82,2,FALSE)*F23</f>
        <v>12339722.35738499</v>
      </c>
      <c r="G29" s="8">
        <f>SUM(C29:F29)</f>
        <v>55126158.468452886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5523683.807787341</v>
      </c>
      <c r="D30" s="49">
        <f>VLOOKUP($B$4,Inputs!$B$21:$C$49,2,FALSE)*D29</f>
        <v>3850622.78043109</v>
      </c>
      <c r="E30" s="49">
        <f>VLOOKUP($B$4,Inputs!$B$21:$C$49,2,FALSE)*E29</f>
        <v>3461624.2451019376</v>
      </c>
      <c r="F30" s="49">
        <f>VLOOKUP($B$4,Inputs!$B$21:$C$49,2,FALSE)*F29</f>
        <v>3701916.7072154973</v>
      </c>
      <c r="G30" s="49">
        <f>SUM(C30:F30)</f>
        <v>16537847.540535867</v>
      </c>
    </row>
    <row r="31" spans="1:7" ht="9.75">
      <c r="A31" s="20">
        <f>A30+1</f>
        <v>14</v>
      </c>
      <c r="B31" s="1" t="s">
        <v>43</v>
      </c>
      <c r="C31" s="10">
        <f>C29-C30</f>
        <v>12888595.551503796</v>
      </c>
      <c r="D31" s="8">
        <f>D29-D30</f>
        <v>8984786.487672543</v>
      </c>
      <c r="E31" s="8">
        <f>E29-E30</f>
        <v>8077123.2385711875</v>
      </c>
      <c r="F31" s="8">
        <f>F29-F30</f>
        <v>8637805.650169494</v>
      </c>
      <c r="G31" s="8">
        <f>SUM(C31:F31)</f>
        <v>38588310.92791702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16869812.77374567</v>
      </c>
      <c r="D36" s="8">
        <f>D23*VLOOKUP($B$4,Inputs!$B$86:$C$113,2,FALSE)</f>
        <v>11760138.27522355</v>
      </c>
      <c r="E36" s="8">
        <f>E23*VLOOKUP($B$4,Inputs!$B$86:$C$113,2,FALSE)</f>
        <v>10572102.774166726</v>
      </c>
      <c r="F36" s="8">
        <f>F23*VLOOKUP($B$4,Inputs!$B$86:$C$113,2,FALSE)</f>
        <v>11305976.940005692</v>
      </c>
      <c r="G36" s="8">
        <f>G23*VLOOKUP($B$4,Inputs!$B$86:$C$113,2,FALSE)</f>
        <v>50508030.76314164</v>
      </c>
    </row>
    <row r="37" spans="1:7" ht="9.75">
      <c r="A37" s="20">
        <f>A36+1</f>
        <v>16</v>
      </c>
      <c r="B37" s="1" t="s">
        <v>10</v>
      </c>
      <c r="C37" s="10">
        <f>C31-C36</f>
        <v>-3981217.222241875</v>
      </c>
      <c r="D37" s="10">
        <f>D31-D36</f>
        <v>-2775351.7875510063</v>
      </c>
      <c r="E37" s="10">
        <f>E31-E36</f>
        <v>-2494979.535595538</v>
      </c>
      <c r="F37" s="10">
        <f>F31-F36</f>
        <v>-2668171.289836198</v>
      </c>
      <c r="G37" s="8">
        <f>G31-G36</f>
        <v>-11919719.835224621</v>
      </c>
    </row>
    <row r="38" spans="3:7" ht="9.75">
      <c r="C38" s="10"/>
      <c r="D38" s="10"/>
      <c r="E38" s="10"/>
      <c r="F38" s="10"/>
      <c r="G38" s="8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74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NP Flats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NP Flats FY23</v>
      </c>
      <c r="C12" s="63">
        <f>VLOOKUP($B$4,'RPW Vol and Rev'!$B$8:$H$43,MATCH('Reg Letters'!C$8,'RPW Vol and Rev'!$B$8:$H$8,FALSE),FALSE)</f>
        <v>257277235</v>
      </c>
      <c r="D12" s="21">
        <f>VLOOKUP($B$4,'RPW Vol and Rev'!$K$8:$P$43,MATCH('Reg Letters'!D$8,'RPW Vol and Rev'!$K$8:$P$8,FALSE),FALSE)</f>
        <v>144667860</v>
      </c>
      <c r="E12" s="22">
        <f>VLOOKUP($B$4,'RPW Vol and Rev'!$K$8:$P$43,MATCH('Reg Letters'!E$8,'RPW Vol and Rev'!$K$8:$P$8,FALSE),FALSE)</f>
        <v>161589028.1475581</v>
      </c>
      <c r="F12" s="22">
        <f>VLOOKUP($B$4,'RPW Vol and Rev'!$K$8:$P$43,MATCH('Reg Letters'!F$8,'RPW Vol and Rev'!$K$8:$P$8,FALSE),FALSE)</f>
        <v>187450213.125745</v>
      </c>
      <c r="G12" s="13">
        <f>SUM(C12:F12)</f>
        <v>750984336.273303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NP Flats FY23</v>
      </c>
      <c r="C13" s="12">
        <f>C12*Inputs!$C$14</f>
        <v>215767997.1341244</v>
      </c>
      <c r="D13" s="13">
        <f>D12*Inputs!$C$14</f>
        <v>121327075.05924459</v>
      </c>
      <c r="E13" s="13">
        <f>E12*Inputs!$C$14</f>
        <v>135518173.46858636</v>
      </c>
      <c r="F13" s="13">
        <f>F12*Inputs!$C$14</f>
        <v>157206901.91849563</v>
      </c>
      <c r="G13" s="13">
        <f>SUM(C13:F13)</f>
        <v>629820147.580451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NP Flats FY23</v>
      </c>
      <c r="C14" s="12">
        <f>C13*Inputs!$C$15</f>
        <v>107883998.5670622</v>
      </c>
      <c r="D14" s="13">
        <f>D13*Inputs!$C$15</f>
        <v>60663537.529622294</v>
      </c>
      <c r="E14" s="13">
        <f>E13*Inputs!$C$15</f>
        <v>67759086.73429318</v>
      </c>
      <c r="F14" s="13">
        <f>F13*Inputs!$C$15</f>
        <v>78603450.95924781</v>
      </c>
      <c r="G14" s="13">
        <f>SUM(C14:F14)</f>
        <v>314910073.7902255</v>
      </c>
    </row>
    <row r="15" spans="1:7" ht="9.75">
      <c r="A15" s="20">
        <f>A14+1</f>
        <v>4</v>
      </c>
      <c r="B15" s="1" t="s">
        <v>128</v>
      </c>
      <c r="C15" s="12">
        <f>C14*Inputs!$C$8</f>
        <v>107883998.5670622</v>
      </c>
      <c r="D15" s="13">
        <f>D14*Inputs!$C$8</f>
        <v>60663537.529622294</v>
      </c>
      <c r="E15" s="13">
        <f>E14*Inputs!$C$8</f>
        <v>67759086.73429318</v>
      </c>
      <c r="F15" s="13">
        <f>F14*Inputs!$C$8</f>
        <v>78603450.95924781</v>
      </c>
      <c r="G15" s="13">
        <f>SUM(C15:F15)</f>
        <v>314910073.7902255</v>
      </c>
    </row>
    <row r="16" spans="1:7" ht="9.75">
      <c r="A16" s="20">
        <f>A15+1</f>
        <v>5</v>
      </c>
      <c r="B16" s="1" t="s">
        <v>62</v>
      </c>
      <c r="C16" s="12">
        <f>C15+C23</f>
        <v>119967006.40657318</v>
      </c>
      <c r="D16" s="13">
        <f>D15+D23</f>
        <v>67457853.73293999</v>
      </c>
      <c r="E16" s="13">
        <f>E15+E23</f>
        <v>75348104.44853401</v>
      </c>
      <c r="F16" s="13">
        <f>F15+F23</f>
        <v>87407037.46668357</v>
      </c>
      <c r="G16" s="13">
        <f>SUM(C16:F16)</f>
        <v>350180002.0547308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43153599.42682488</v>
      </c>
      <c r="D19" s="13">
        <f>D14*Inputs!$C$16</f>
        <v>24265415.01184892</v>
      </c>
      <c r="E19" s="13">
        <f>E14*Inputs!$C$16</f>
        <v>27103634.69371727</v>
      </c>
      <c r="F19" s="13">
        <f>F14*Inputs!$C$16</f>
        <v>31441380.383699127</v>
      </c>
      <c r="G19" s="13">
        <f>SUM(C19:F19)</f>
        <v>125964029.51609018</v>
      </c>
    </row>
    <row r="20" spans="1:7" ht="9.75">
      <c r="A20" s="20">
        <f>A19+1</f>
        <v>7</v>
      </c>
      <c r="B20" s="1" t="s">
        <v>5</v>
      </c>
      <c r="C20" s="12">
        <f>C19*Inputs!$C$8</f>
        <v>43153599.42682488</v>
      </c>
      <c r="D20" s="13">
        <f>D19*Inputs!$C$8</f>
        <v>24265415.01184892</v>
      </c>
      <c r="E20" s="13">
        <f>E19*Inputs!$C$8</f>
        <v>27103634.69371727</v>
      </c>
      <c r="F20" s="13">
        <f>F19*Inputs!$C$8</f>
        <v>31441380.383699127</v>
      </c>
      <c r="G20" s="13">
        <f>SUM(C20:F20)</f>
        <v>125964029.51609018</v>
      </c>
    </row>
    <row r="21" spans="1:7" ht="9.75">
      <c r="A21" s="20">
        <f>A20+1</f>
        <v>8</v>
      </c>
      <c r="B21" s="1" t="s">
        <v>62</v>
      </c>
      <c r="C21" s="12">
        <f>C20*(1+Inputs!$C$18)</f>
        <v>55236607.26633585</v>
      </c>
      <c r="D21" s="12">
        <f>D20*(1+Inputs!$C$18)</f>
        <v>31059731.215166617</v>
      </c>
      <c r="E21" s="12">
        <f>E20*(1+Inputs!$C$18)</f>
        <v>34692652.407958105</v>
      </c>
      <c r="F21" s="12">
        <f>F20*(1+Inputs!$C$18)</f>
        <v>40244966.89113488</v>
      </c>
      <c r="G21" s="13">
        <f>SUM(C21:F21)</f>
        <v>161233957.78059545</v>
      </c>
    </row>
    <row r="22" spans="1:7" ht="9.75">
      <c r="A22" s="20">
        <f>A21+1</f>
        <v>9</v>
      </c>
      <c r="B22" s="1" t="s">
        <v>12</v>
      </c>
      <c r="C22" s="12">
        <f>C21-C19</f>
        <v>12083007.83951097</v>
      </c>
      <c r="D22" s="13">
        <f>D21-D19</f>
        <v>6794316.203317698</v>
      </c>
      <c r="E22" s="13">
        <f>E21-E19</f>
        <v>7589017.714240834</v>
      </c>
      <c r="F22" s="13">
        <f>F21-F19</f>
        <v>8803586.507435754</v>
      </c>
      <c r="G22" s="13">
        <f>SUM(C22:F22)</f>
        <v>35269928.26450525</v>
      </c>
    </row>
    <row r="23" spans="1:7" ht="9.75">
      <c r="A23" s="20">
        <f>A22+1</f>
        <v>10</v>
      </c>
      <c r="B23" s="47" t="s">
        <v>8</v>
      </c>
      <c r="C23" s="50">
        <f>C21-C20</f>
        <v>12083007.83951097</v>
      </c>
      <c r="D23" s="51">
        <f>D21-D20</f>
        <v>6794316.203317698</v>
      </c>
      <c r="E23" s="51">
        <f>E21-E20</f>
        <v>7589017.714240834</v>
      </c>
      <c r="F23" s="51">
        <f>F21-F20</f>
        <v>8803586.507435754</v>
      </c>
      <c r="G23" s="51">
        <f>SUM(C23:F23)</f>
        <v>35269928.26450525</v>
      </c>
    </row>
    <row r="24" spans="3:7" ht="9.75">
      <c r="C24" s="37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20936860.32073608</v>
      </c>
      <c r="D28" s="8">
        <f>D21*(D29/D23)</f>
        <v>11772867.419535981</v>
      </c>
      <c r="E28" s="8">
        <f>E21*(E29/E23)</f>
        <v>13149888.336171344</v>
      </c>
      <c r="F28" s="8">
        <f>F21*(F29/F23)</f>
        <v>15254435.276039604</v>
      </c>
      <c r="G28" s="13">
        <f>SUM(C28:F28)</f>
        <v>61114051.352483004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4579938.1951610185</v>
      </c>
      <c r="D29" s="8">
        <f>VLOOKUP($B$4,Inputs!$B$55:$C$82,2,FALSE)*D23</f>
        <v>2575314.748023496</v>
      </c>
      <c r="E29" s="8">
        <f>VLOOKUP($B$4,Inputs!$B$55:$C$82,2,FALSE)*E23</f>
        <v>2876538.073537481</v>
      </c>
      <c r="F29" s="8">
        <f>VLOOKUP($B$4,Inputs!$B$55:$C$82,2,FALSE)*F23</f>
        <v>3336907.716633663</v>
      </c>
      <c r="G29" s="8">
        <f>SUM(C29:F29)</f>
        <v>13368698.733355658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1373981.4585483056</v>
      </c>
      <c r="D30" s="49">
        <f>VLOOKUP($B$4,Inputs!$B$21:$C$49,2,FALSE)*D29</f>
        <v>772594.4244070487</v>
      </c>
      <c r="E30" s="49">
        <f>VLOOKUP($B$4,Inputs!$B$21:$C$49,2,FALSE)*E29</f>
        <v>862961.4220612443</v>
      </c>
      <c r="F30" s="49">
        <f>VLOOKUP($B$4,Inputs!$B$21:$C$49,2,FALSE)*F29</f>
        <v>1001072.3149900988</v>
      </c>
      <c r="G30" s="49">
        <f>SUM(C30:F30)</f>
        <v>4010609.6200066973</v>
      </c>
    </row>
    <row r="31" spans="1:7" ht="9.75">
      <c r="A31" s="20">
        <f>A30+1</f>
        <v>14</v>
      </c>
      <c r="B31" s="1" t="s">
        <v>43</v>
      </c>
      <c r="C31" s="10">
        <f>C29-C30</f>
        <v>3205956.736612713</v>
      </c>
      <c r="D31" s="8">
        <f>D29-D30</f>
        <v>1802720.3236164474</v>
      </c>
      <c r="E31" s="8">
        <f>E29-E30</f>
        <v>2013576.6514762368</v>
      </c>
      <c r="F31" s="8">
        <f>F29-F30</f>
        <v>2335835.401643564</v>
      </c>
      <c r="G31" s="8">
        <f>SUM(C31:F31)</f>
        <v>9358089.11334896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9331304.31782343</v>
      </c>
      <c r="D36" s="8">
        <f>D23*VLOOKUP($B$4,Inputs!$B$86:$C$113,2,FALSE)</f>
        <v>5247023.999881976</v>
      </c>
      <c r="E36" s="8">
        <f>E23*VLOOKUP($B$4,Inputs!$B$86:$C$113,2,FALSE)</f>
        <v>5860745.495287213</v>
      </c>
      <c r="F36" s="8">
        <f>F23*VLOOKUP($B$4,Inputs!$B$86:$C$113,2,FALSE)</f>
        <v>6798716.50174251</v>
      </c>
      <c r="G36" s="8">
        <f>G23*VLOOKUP($B$4,Inputs!$B$86:$C$113,2,FALSE)</f>
        <v>27237790.314735126</v>
      </c>
    </row>
    <row r="37" spans="1:7" ht="9.75">
      <c r="A37" s="20">
        <f>A36+1</f>
        <v>16</v>
      </c>
      <c r="B37" s="1" t="s">
        <v>10</v>
      </c>
      <c r="C37" s="10">
        <f>C31-C36</f>
        <v>-6125347.581210718</v>
      </c>
      <c r="D37" s="10">
        <f>D31-D36</f>
        <v>-3444303.676265529</v>
      </c>
      <c r="E37" s="10">
        <f>E31-E36</f>
        <v>-3847168.8438109756</v>
      </c>
      <c r="F37" s="10">
        <f>F31-F36</f>
        <v>-4462881.100098946</v>
      </c>
      <c r="G37" s="8">
        <f>G31-G36</f>
        <v>-17879701.201386165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75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NP Carrier Route Letters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NP Carrier Route Letters FY23</v>
      </c>
      <c r="C12" s="63">
        <f>VLOOKUP($B$4,'RPW Vol and Rev'!$B$8:$H$43,MATCH('Reg Letters'!C$8,'RPW Vol and Rev'!$B$8:$H$8,FALSE),FALSE)</f>
        <v>1456994</v>
      </c>
      <c r="D12" s="21">
        <f>VLOOKUP($B$4,'RPW Vol and Rev'!$K$8:$P$43,MATCH('Reg Letters'!D$8,'RPW Vol and Rev'!$K$8:$P$8,FALSE),FALSE)</f>
        <v>321335</v>
      </c>
      <c r="E12" s="22">
        <f>VLOOKUP($B$4,'RPW Vol and Rev'!$K$8:$P$43,MATCH('Reg Letters'!E$8,'RPW Vol and Rev'!$K$8:$P$8,FALSE),FALSE)</f>
        <v>626447.3998991463</v>
      </c>
      <c r="F12" s="22">
        <f>VLOOKUP($B$4,'RPW Vol and Rev'!$K$8:$P$43,MATCH('Reg Letters'!F$8,'RPW Vol and Rev'!$K$8:$P$8,FALSE),FALSE)</f>
        <v>739281.7719743648</v>
      </c>
      <c r="G12" s="13">
        <f>SUM(C12:F12)</f>
        <v>3144058.1718735113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NP Carrier Route Letters FY23</v>
      </c>
      <c r="C13" s="12">
        <f>C12*Inputs!$C$14</f>
        <v>1221921.858793439</v>
      </c>
      <c r="D13" s="13">
        <f>D12*Inputs!$C$14</f>
        <v>269490.6502671869</v>
      </c>
      <c r="E13" s="13">
        <f>E12*Inputs!$C$14</f>
        <v>525376.0628534377</v>
      </c>
      <c r="F13" s="13">
        <f>F12*Inputs!$C$14</f>
        <v>620005.6808628059</v>
      </c>
      <c r="G13" s="13">
        <f>SUM(C13:F13)</f>
        <v>2636794.2527768696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NP Carrier Route Letters FY23</v>
      </c>
      <c r="C14" s="12">
        <f>C13*Inputs!$C$15</f>
        <v>610960.9293967196</v>
      </c>
      <c r="D14" s="13">
        <f>D13*Inputs!$C$15</f>
        <v>134745.32513359346</v>
      </c>
      <c r="E14" s="13">
        <f>E13*Inputs!$C$15</f>
        <v>262688.03142671887</v>
      </c>
      <c r="F14" s="13">
        <f>F13*Inputs!$C$15</f>
        <v>310002.84043140296</v>
      </c>
      <c r="G14" s="13">
        <f>SUM(C14:F14)</f>
        <v>1318397.1263884348</v>
      </c>
    </row>
    <row r="15" spans="1:7" ht="9.75">
      <c r="A15" s="20">
        <f>A14+1</f>
        <v>4</v>
      </c>
      <c r="B15" s="1" t="s">
        <v>128</v>
      </c>
      <c r="C15" s="12">
        <f>C14*Inputs!$C$8</f>
        <v>610960.9293967196</v>
      </c>
      <c r="D15" s="13">
        <f>D14*Inputs!$C$8</f>
        <v>134745.32513359346</v>
      </c>
      <c r="E15" s="13">
        <f>E14*Inputs!$C$8</f>
        <v>262688.03142671887</v>
      </c>
      <c r="F15" s="13">
        <f>F14*Inputs!$C$8</f>
        <v>310002.84043140296</v>
      </c>
      <c r="G15" s="13">
        <f>SUM(C15:F15)</f>
        <v>1318397.1263884348</v>
      </c>
    </row>
    <row r="16" spans="1:7" ht="9.75">
      <c r="A16" s="20">
        <f>A15+1</f>
        <v>5</v>
      </c>
      <c r="B16" s="1" t="s">
        <v>62</v>
      </c>
      <c r="C16" s="12">
        <f>C15+C23</f>
        <v>679388.5534891521</v>
      </c>
      <c r="D16" s="13">
        <f>D15+D23</f>
        <v>149836.80154855593</v>
      </c>
      <c r="E16" s="13">
        <f>E15+E23</f>
        <v>292109.09094651137</v>
      </c>
      <c r="F16" s="13">
        <f>F15+F23</f>
        <v>344723.1585597201</v>
      </c>
      <c r="G16" s="13">
        <f>SUM(C16:F16)</f>
        <v>1466057.6045439395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244384.37175868783</v>
      </c>
      <c r="D19" s="13">
        <f>D14*Inputs!$C$16</f>
        <v>53898.13005343739</v>
      </c>
      <c r="E19" s="13">
        <f>E14*Inputs!$C$16</f>
        <v>105075.21257068755</v>
      </c>
      <c r="F19" s="13">
        <f>F14*Inputs!$C$16</f>
        <v>124001.1361725612</v>
      </c>
      <c r="G19" s="13">
        <f>SUM(C19:F19)</f>
        <v>527358.8505553739</v>
      </c>
    </row>
    <row r="20" spans="1:7" ht="9.75">
      <c r="A20" s="20">
        <f>A19+1</f>
        <v>7</v>
      </c>
      <c r="B20" s="1" t="s">
        <v>5</v>
      </c>
      <c r="C20" s="12">
        <f>C19*Inputs!$C$8</f>
        <v>244384.37175868783</v>
      </c>
      <c r="D20" s="13">
        <f>D19*Inputs!$C$8</f>
        <v>53898.13005343739</v>
      </c>
      <c r="E20" s="13">
        <f>E19*Inputs!$C$8</f>
        <v>105075.21257068755</v>
      </c>
      <c r="F20" s="13">
        <f>F19*Inputs!$C$8</f>
        <v>124001.1361725612</v>
      </c>
      <c r="G20" s="13">
        <f>SUM(C20:F20)</f>
        <v>527358.8505553739</v>
      </c>
    </row>
    <row r="21" spans="1:7" ht="9.75">
      <c r="A21" s="20">
        <f>A20+1</f>
        <v>8</v>
      </c>
      <c r="B21" s="1" t="s">
        <v>62</v>
      </c>
      <c r="C21" s="12">
        <f>C20*(1+Inputs!$C$18)</f>
        <v>312811.99585112045</v>
      </c>
      <c r="D21" s="12">
        <f>D20*(1+Inputs!$C$18)</f>
        <v>68989.60646839986</v>
      </c>
      <c r="E21" s="12">
        <f>E20*(1+Inputs!$C$18)</f>
        <v>134496.27209048008</v>
      </c>
      <c r="F21" s="12">
        <f>F20*(1+Inputs!$C$18)</f>
        <v>158721.45430087834</v>
      </c>
      <c r="G21" s="13">
        <f>SUM(C21:F21)</f>
        <v>675019.3287108787</v>
      </c>
    </row>
    <row r="22" spans="1:7" ht="9.75">
      <c r="A22" s="20">
        <f>A21+1</f>
        <v>9</v>
      </c>
      <c r="B22" s="1" t="s">
        <v>12</v>
      </c>
      <c r="C22" s="12">
        <f>C21-C19</f>
        <v>68427.62409243261</v>
      </c>
      <c r="D22" s="13">
        <f>D21-D19</f>
        <v>15091.476414962468</v>
      </c>
      <c r="E22" s="13">
        <f>E21-E19</f>
        <v>29421.05951979253</v>
      </c>
      <c r="F22" s="13">
        <f>F21-F19</f>
        <v>34720.31812831714</v>
      </c>
      <c r="G22" s="13">
        <f>SUM(C22:F22)</f>
        <v>147660.47815550474</v>
      </c>
    </row>
    <row r="23" spans="1:7" ht="9.75">
      <c r="A23" s="20">
        <f>A22+1</f>
        <v>10</v>
      </c>
      <c r="B23" s="47" t="s">
        <v>8</v>
      </c>
      <c r="C23" s="50">
        <f>C21-C20</f>
        <v>68427.62409243261</v>
      </c>
      <c r="D23" s="51">
        <f>D21-D20</f>
        <v>15091.476414962468</v>
      </c>
      <c r="E23" s="51">
        <f>E21-E20</f>
        <v>29421.05951979253</v>
      </c>
      <c r="F23" s="51">
        <f>F21-F20</f>
        <v>34720.31812831714</v>
      </c>
      <c r="G23" s="51">
        <f>SUM(C23:F23)</f>
        <v>147660.47815550474</v>
      </c>
    </row>
    <row r="24" spans="3:7" ht="9.75">
      <c r="C24" s="37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81826.70635997823</v>
      </c>
      <c r="D28" s="8">
        <f>D21*(D29/D23)</f>
        <v>18046.59778158565</v>
      </c>
      <c r="E28" s="8">
        <f>E21*(E29/E23)</f>
        <v>35182.11292669654</v>
      </c>
      <c r="F28" s="8">
        <f>F21*(F29/F23)</f>
        <v>41519.040210619074</v>
      </c>
      <c r="G28" s="13">
        <f>SUM(C28:F28)</f>
        <v>176574.4572788795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17899.592016245242</v>
      </c>
      <c r="D29" s="8">
        <f>VLOOKUP($B$4,Inputs!$B$55:$C$82,2,FALSE)*D23</f>
        <v>3947.693264721861</v>
      </c>
      <c r="E29" s="8">
        <f>VLOOKUP($B$4,Inputs!$B$55:$C$82,2,FALSE)*E23</f>
        <v>7696.087202714871</v>
      </c>
      <c r="F29" s="8">
        <f>VLOOKUP($B$4,Inputs!$B$55:$C$82,2,FALSE)*F23</f>
        <v>9082.290046072923</v>
      </c>
      <c r="G29" s="8">
        <f>SUM(C29:F29)</f>
        <v>38625.662529754896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5369.877604873573</v>
      </c>
      <c r="D30" s="49">
        <f>VLOOKUP($B$4,Inputs!$B$21:$C$49,2,FALSE)*D29</f>
        <v>1184.3079794165583</v>
      </c>
      <c r="E30" s="49">
        <f>VLOOKUP($B$4,Inputs!$B$21:$C$49,2,FALSE)*E29</f>
        <v>2308.826160814461</v>
      </c>
      <c r="F30" s="49">
        <f>VLOOKUP($B$4,Inputs!$B$21:$C$49,2,FALSE)*F29</f>
        <v>2724.687013821877</v>
      </c>
      <c r="G30" s="49">
        <f>SUM(C30:F30)</f>
        <v>11587.698758926468</v>
      </c>
    </row>
    <row r="31" spans="1:7" ht="9.75">
      <c r="A31" s="20">
        <f>A30+1</f>
        <v>14</v>
      </c>
      <c r="B31" s="1" t="s">
        <v>43</v>
      </c>
      <c r="C31" s="10">
        <f>C29-C30</f>
        <v>12529.71441137167</v>
      </c>
      <c r="D31" s="8">
        <f>D29-D30</f>
        <v>2763.3852853053027</v>
      </c>
      <c r="E31" s="8">
        <f>E29-E30</f>
        <v>5387.2610419004095</v>
      </c>
      <c r="F31" s="8">
        <f>F29-F30</f>
        <v>6357.603032251047</v>
      </c>
      <c r="G31" s="8">
        <f>SUM(C31:F31)</f>
        <v>27037.963770828428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22378.976459529207</v>
      </c>
      <c r="D36" s="8">
        <f>D23*VLOOKUP($B$4,Inputs!$B$86:$C$113,2,FALSE)</f>
        <v>4935.606049594449</v>
      </c>
      <c r="E36" s="8">
        <f>E23*VLOOKUP($B$4,Inputs!$B$86:$C$113,2,FALSE)</f>
        <v>9622.037987442829</v>
      </c>
      <c r="F36" s="8">
        <f>F23*VLOOKUP($B$4,Inputs!$B$86:$C$113,2,FALSE)</f>
        <v>11355.13898614088</v>
      </c>
      <c r="G36" s="8">
        <f>G23*VLOOKUP($B$4,Inputs!$B$86:$C$113,2,FALSE)</f>
        <v>48291.75948270736</v>
      </c>
    </row>
    <row r="37" spans="1:7" ht="9.75">
      <c r="A37" s="20">
        <f>A36+1</f>
        <v>16</v>
      </c>
      <c r="B37" s="1" t="s">
        <v>10</v>
      </c>
      <c r="C37" s="10">
        <f>C31-C36</f>
        <v>-9849.262048157538</v>
      </c>
      <c r="D37" s="10">
        <f>D31-D36</f>
        <v>-2172.2207642891467</v>
      </c>
      <c r="E37" s="10">
        <f>E31-E36</f>
        <v>-4234.7769455424195</v>
      </c>
      <c r="F37" s="10">
        <f>F31-F36</f>
        <v>-4997.535953889834</v>
      </c>
      <c r="G37" s="8">
        <f>G31-G36</f>
        <v>-21253.795711878935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bestFit="1" customWidth="1"/>
    <col min="3" max="7" width="13.57421875" style="1" customWidth="1"/>
    <col min="8" max="8" width="10.7109375" style="64" bestFit="1" customWidth="1"/>
    <col min="9" max="9" width="15.00390625" style="1" bestFit="1" customWidth="1"/>
    <col min="10" max="10" width="11.8515625" style="1" bestFit="1" customWidth="1"/>
    <col min="11" max="11" width="9.140625" style="1" customWidth="1"/>
    <col min="12" max="12" width="10.421875" style="1" bestFit="1" customWidth="1"/>
    <col min="13" max="13" width="9.140625" style="1" customWidth="1"/>
    <col min="14" max="16" width="11.421875" style="1" bestFit="1" customWidth="1"/>
    <col min="17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">
        <v>150</v>
      </c>
    </row>
    <row r="4" ht="9.75">
      <c r="B4" s="4" t="s">
        <v>60</v>
      </c>
    </row>
    <row r="5" spans="2:12" ht="9.75">
      <c r="B5" s="4"/>
      <c r="K5" s="45"/>
      <c r="L5" s="45"/>
    </row>
    <row r="6" ht="9.75">
      <c r="B6" s="4"/>
    </row>
    <row r="7" ht="9.75">
      <c r="B7" s="4"/>
    </row>
    <row r="8" spans="2:9" ht="10.5">
      <c r="B8" s="6"/>
      <c r="I8" s="6"/>
    </row>
    <row r="9" spans="3:7" ht="10.5">
      <c r="C9" s="57" t="s">
        <v>151</v>
      </c>
      <c r="D9" s="55"/>
      <c r="E9" s="55"/>
      <c r="F9" s="56"/>
      <c r="G9" s="58"/>
    </row>
    <row r="10" spans="2:15" ht="10.5">
      <c r="B10" s="41" t="s">
        <v>0</v>
      </c>
      <c r="C10" s="76" t="s">
        <v>53</v>
      </c>
      <c r="D10" s="77" t="s">
        <v>54</v>
      </c>
      <c r="E10" s="77" t="s">
        <v>55</v>
      </c>
      <c r="F10" s="77" t="s">
        <v>56</v>
      </c>
      <c r="G10" s="77" t="s">
        <v>51</v>
      </c>
      <c r="H10" s="67" t="s">
        <v>44</v>
      </c>
      <c r="I10" s="24"/>
      <c r="J10" s="38"/>
      <c r="K10" s="38"/>
      <c r="L10" s="38"/>
      <c r="M10" s="38"/>
      <c r="N10" s="38"/>
      <c r="O10" s="11"/>
    </row>
    <row r="11" spans="2:15" ht="9.75">
      <c r="B11" s="73" t="s">
        <v>20</v>
      </c>
      <c r="C11" s="60"/>
      <c r="D11" s="60"/>
      <c r="E11" s="60"/>
      <c r="F11" s="60"/>
      <c r="G11" s="60"/>
      <c r="H11" s="69"/>
      <c r="I11" s="24"/>
      <c r="J11" s="38"/>
      <c r="K11" s="38"/>
      <c r="L11" s="38"/>
      <c r="M11" s="38"/>
      <c r="N11" s="38"/>
      <c r="O11" s="11"/>
    </row>
    <row r="12" spans="1:15" ht="9.75">
      <c r="A12" s="20" t="s">
        <v>27</v>
      </c>
      <c r="B12" s="1" t="str">
        <f>"Total "&amp;B4&amp;" FY23"</f>
        <v>Total Marketing Mail Volume FY23</v>
      </c>
      <c r="C12" s="12">
        <f>'Reg Letters'!C12+'Reg Flats'!C12+'Reg Carrier Route Letters'!C12+'Reg Carrier Route Flats'!C12+'Reg-Sat Letters'!C12+'Reg-Sat Flats'!C12+'Reg-EDDM Letters'!C12+'Reg-EDDM Flats'!C12+'Reg-HD Plus Letters'!C12+'Reg-HD Plus Flats'!C12+'Reg HD Letters'!C12+'Reg HD Flats'!C12+'Reg Parcels'!C12+'NP Letters'!C12+'NP Flats'!C12+'NP Carrier Route Letters '!C12+'NP Carrier Route Flats'!C12+'NP Sat Letters'!C12+'NP Sat Flats'!C12+'NP EDDM Letters'!C12+'NP EDDM Flats'!C12+'NP HD Plus Letters'!C12+'NP HD Plus Flats'!C12+'NP HD Letters'!C12+'NP HD Flats'!C12+'NP Parcels'!C12</f>
        <v>17802965665</v>
      </c>
      <c r="D12" s="12">
        <f>'Reg Letters'!D12+'Reg Flats'!D12+'Reg Carrier Route Letters'!D12+'Reg Carrier Route Flats'!D12+'Reg-Sat Letters'!D12+'Reg-Sat Flats'!D12+'Reg-EDDM Letters'!D12+'Reg-EDDM Flats'!D12+'Reg-HD Plus Letters'!D12+'Reg-HD Plus Flats'!D12+'Reg HD Letters'!D12+'Reg HD Flats'!D12+'Reg Parcels'!D12+'NP Letters'!D12+'NP Flats'!D12+'NP Carrier Route Letters '!D12+'NP Carrier Route Flats'!D12+'NP Sat Letters'!D12+'NP Sat Flats'!D12+'NP EDDM Letters'!D12+'NP EDDM Flats'!D12+'NP HD Plus Letters'!D12+'NP HD Plus Flats'!D12+'NP HD Letters'!D12+'NP HD Flats'!D12+'NP Parcels'!D12</f>
        <v>13958977241</v>
      </c>
      <c r="E12" s="12">
        <f>'Reg Letters'!E12+'Reg Flats'!E12+'Reg Carrier Route Letters'!E12+'Reg Carrier Route Flats'!E12+'Reg-Sat Letters'!E12+'Reg-Sat Flats'!E12+'Reg-EDDM Letters'!E12+'Reg-EDDM Flats'!E12+'Reg-HD Plus Letters'!E12+'Reg-HD Plus Flats'!E12+'Reg HD Letters'!E12+'Reg HD Flats'!E12+'Reg Parcels'!E12+'NP Letters'!E12+'NP Flats'!E12+'NP Carrier Route Letters '!E12+'NP Carrier Route Flats'!E12+'NP Sat Letters'!E12+'NP Sat Flats'!E12+'NP EDDM Letters'!E12+'NP EDDM Flats'!E12+'NP HD Plus Letters'!E12+'NP HD Plus Flats'!E12+'NP HD Letters'!E12+'NP HD Flats'!E12+'NP Parcels'!E12</f>
        <v>14278313649.8539</v>
      </c>
      <c r="F12" s="12">
        <f>'Reg Letters'!F12+'Reg Flats'!F12+'Reg Carrier Route Letters'!F12+'Reg Carrier Route Flats'!F12+'Reg-Sat Letters'!F12+'Reg-Sat Flats'!F12+'Reg-EDDM Letters'!F12+'Reg-EDDM Flats'!F12+'Reg-HD Plus Letters'!F12+'Reg-HD Plus Flats'!F12+'Reg HD Letters'!F12+'Reg HD Flats'!F12+'Reg Parcels'!F12+'NP Letters'!F12+'NP Flats'!F12+'NP Carrier Route Letters '!F12+'NP Carrier Route Flats'!F12+'NP Sat Letters'!F12+'NP Sat Flats'!F12+'NP EDDM Letters'!F12+'NP EDDM Flats'!F12+'NP HD Plus Letters'!F12+'NP HD Plus Flats'!F12+'NP HD Letters'!F12+'NP HD Flats'!F12+'NP Parcels'!F12</f>
        <v>14460315896.800852</v>
      </c>
      <c r="G12" s="13">
        <f>SUM(C12:F12)</f>
        <v>60500572452.65475</v>
      </c>
      <c r="H12" s="69"/>
      <c r="I12" s="11"/>
      <c r="J12" s="39"/>
      <c r="K12" s="39"/>
      <c r="L12" s="39"/>
      <c r="M12" s="39"/>
      <c r="N12" s="39"/>
      <c r="O12" s="11"/>
    </row>
    <row r="13" spans="1:15" ht="9.75">
      <c r="A13" s="20" t="s">
        <v>28</v>
      </c>
      <c r="B13" s="1" t="str">
        <f>"Total Eligible "&amp;B4&amp;" FY23"</f>
        <v>Total Eligible Marketing Mail Volume FY23</v>
      </c>
      <c r="C13" s="12">
        <f>'Reg Letters'!C13+'Reg Flats'!C13+'Reg Carrier Route Letters'!C13+'Reg Carrier Route Flats'!C13+'Reg-Sat Letters'!C13+'Reg-Sat Flats'!C13+'Reg-EDDM Letters'!C13+'Reg-EDDM Flats'!C13+'Reg-HD Plus Letters'!C13+'Reg-HD Plus Flats'!C13+'Reg HD Letters'!C13+'Reg HD Flats'!C13+'Reg Parcels'!C13+'NP Letters'!C13+'NP Flats'!C13+'NP Carrier Route Letters '!C13+'NP Carrier Route Flats'!C13+'NP Sat Letters'!C13+'NP Sat Flats'!C13+'NP EDDM Letters'!C13+'NP EDDM Flats'!C13+'NP HD Plus Letters'!C13+'NP HD Plus Flats'!C13+'NP HD Letters'!C13+'NP HD Flats'!C13+'NP Parcels'!C13</f>
        <v>14930626273.967205</v>
      </c>
      <c r="D13" s="12">
        <f>'Reg Letters'!D13+'Reg Flats'!D13+'Reg Carrier Route Letters'!D13+'Reg Carrier Route Flats'!D13+'Reg-Sat Letters'!D13+'Reg-Sat Flats'!D13+'Reg-EDDM Letters'!D13+'Reg-EDDM Flats'!D13+'Reg-HD Plus Letters'!D13+'Reg-HD Plus Flats'!D13+'Reg HD Letters'!D13+'Reg HD Flats'!D13+'Reg Parcels'!D13+'NP Letters'!D13+'NP Flats'!D13+'NP Carrier Route Letters '!D13+'NP Carrier Route Flats'!D13+'NP Sat Letters'!D13+'NP Sat Flats'!D13+'NP EDDM Letters'!D13+'NP EDDM Flats'!D13+'NP HD Plus Letters'!D13+'NP HD Plus Flats'!D13+'NP HD Letters'!D13+'NP HD Flats'!D13+'NP Parcels'!D13</f>
        <v>11706828866.267141</v>
      </c>
      <c r="E13" s="12">
        <f>'Reg Letters'!E13+'Reg Flats'!E13+'Reg Carrier Route Letters'!E13+'Reg Carrier Route Flats'!E13+'Reg-Sat Letters'!E13+'Reg-Sat Flats'!E13+'Reg-EDDM Letters'!E13+'Reg-EDDM Flats'!E13+'Reg-HD Plus Letters'!E13+'Reg-HD Plus Flats'!E13+'Reg HD Letters'!E13+'Reg HD Flats'!E13+'Reg Parcels'!E13+'NP Letters'!E13+'NP Flats'!E13+'NP Carrier Route Letters '!E13+'NP Carrier Route Flats'!E13+'NP Sat Letters'!E13+'NP Sat Flats'!E13+'NP EDDM Letters'!E13+'NP EDDM Flats'!E13+'NP HD Plus Letters'!E13+'NP HD Plus Flats'!E13+'NP HD Letters'!E13+'NP HD Flats'!E13+'NP Parcels'!E13</f>
        <v>11974643379.08406</v>
      </c>
      <c r="F13" s="12">
        <f>'Reg Letters'!F13+'Reg Flats'!F13+'Reg Carrier Route Letters'!F13+'Reg Carrier Route Flats'!F13+'Reg-Sat Letters'!F13+'Reg-Sat Flats'!F13+'Reg-EDDM Letters'!F13+'Reg-EDDM Flats'!F13+'Reg-HD Plus Letters'!F13+'Reg-HD Plus Flats'!F13+'Reg HD Letters'!F13+'Reg HD Flats'!F13+'Reg Parcels'!F13+'NP Letters'!F13+'NP Flats'!F13+'NP Carrier Route Letters '!F13+'NP Carrier Route Flats'!F13+'NP Sat Letters'!F13+'NP Sat Flats'!F13+'NP EDDM Letters'!F13+'NP EDDM Flats'!F13+'NP HD Plus Letters'!F13+'NP HD Plus Flats'!F13+'NP HD Letters'!F13+'NP HD Flats'!F13+'NP Parcels'!F13</f>
        <v>12127281292.413837</v>
      </c>
      <c r="G13" s="13">
        <f>SUM(C13:F13)</f>
        <v>50739379811.73224</v>
      </c>
      <c r="H13" s="123" t="str">
        <f>"= a * "&amp;ROUND(Inputs!C14,2)*100&amp;"%"</f>
        <v>= a * 84%</v>
      </c>
      <c r="I13" s="11"/>
      <c r="J13" s="11"/>
      <c r="K13" s="11"/>
      <c r="L13" s="11"/>
      <c r="M13" s="11"/>
      <c r="N13" s="11"/>
      <c r="O13" s="11"/>
    </row>
    <row r="14" spans="1:8" ht="9.75">
      <c r="A14" s="20" t="s">
        <v>29</v>
      </c>
      <c r="B14" s="1" t="str">
        <f>"Total Participating "&amp;B4&amp;" FY23"</f>
        <v>Total Participating Marketing Mail Volume FY23</v>
      </c>
      <c r="C14" s="12">
        <f>'Reg Letters'!C14+'Reg Flats'!C14+'Reg Carrier Route Letters'!C14+'Reg Carrier Route Flats'!C14+'Reg-Sat Letters'!C14+'Reg-Sat Flats'!C14+'Reg-EDDM Letters'!C14+'Reg-EDDM Flats'!C14+'Reg-HD Plus Letters'!C14+'Reg-HD Plus Flats'!C14+'Reg HD Letters'!C14+'Reg HD Flats'!C14+'Reg Parcels'!C14+'NP Letters'!C14+'NP Flats'!C14+'NP Carrier Route Letters '!C14+'NP Carrier Route Flats'!C14+'NP Sat Letters'!C14+'NP Sat Flats'!C14+'NP EDDM Letters'!C14+'NP EDDM Flats'!C14+'NP HD Plus Letters'!C14+'NP HD Plus Flats'!C14+'NP HD Letters'!C14+'NP HD Flats'!C14+'NP Parcels'!C14</f>
        <v>7465313136.983603</v>
      </c>
      <c r="D14" s="12">
        <f>'Reg Letters'!D14+'Reg Flats'!D14+'Reg Carrier Route Letters'!D14+'Reg Carrier Route Flats'!D14+'Reg-Sat Letters'!D14+'Reg-Sat Flats'!D14+'Reg-EDDM Letters'!D14+'Reg-EDDM Flats'!D14+'Reg-HD Plus Letters'!D14+'Reg-HD Plus Flats'!D14+'Reg HD Letters'!D14+'Reg HD Flats'!D14+'Reg Parcels'!D14+'NP Letters'!D14+'NP Flats'!D14+'NP Carrier Route Letters '!D14+'NP Carrier Route Flats'!D14+'NP Sat Letters'!D14+'NP Sat Flats'!D14+'NP EDDM Letters'!D14+'NP EDDM Flats'!D14+'NP HD Plus Letters'!D14+'NP HD Plus Flats'!D14+'NP HD Letters'!D14+'NP HD Flats'!D14+'NP Parcels'!D14</f>
        <v>5853414433.133571</v>
      </c>
      <c r="E14" s="12">
        <f>'Reg Letters'!E14+'Reg Flats'!E14+'Reg Carrier Route Letters'!E14+'Reg Carrier Route Flats'!E14+'Reg-Sat Letters'!E14+'Reg-Sat Flats'!E14+'Reg-EDDM Letters'!E14+'Reg-EDDM Flats'!E14+'Reg-HD Plus Letters'!E14+'Reg-HD Plus Flats'!E14+'Reg HD Letters'!E14+'Reg HD Flats'!E14+'Reg Parcels'!E14+'NP Letters'!E14+'NP Flats'!E14+'NP Carrier Route Letters '!E14+'NP Carrier Route Flats'!E14+'NP Sat Letters'!E14+'NP Sat Flats'!E14+'NP EDDM Letters'!E14+'NP EDDM Flats'!E14+'NP HD Plus Letters'!E14+'NP HD Plus Flats'!E14+'NP HD Letters'!E14+'NP HD Flats'!E14+'NP Parcels'!E14</f>
        <v>5987321689.54203</v>
      </c>
      <c r="F14" s="12">
        <f>'Reg Letters'!F14+'Reg Flats'!F14+'Reg Carrier Route Letters'!F14+'Reg Carrier Route Flats'!F14+'Reg-Sat Letters'!F14+'Reg-Sat Flats'!F14+'Reg-EDDM Letters'!F14+'Reg-EDDM Flats'!F14+'Reg-HD Plus Letters'!F14+'Reg-HD Plus Flats'!F14+'Reg HD Letters'!F14+'Reg HD Flats'!F14+'Reg Parcels'!F14+'NP Letters'!F14+'NP Flats'!F14+'NP Carrier Route Letters '!F14+'NP Carrier Route Flats'!F14+'NP Sat Letters'!F14+'NP Sat Flats'!F14+'NP EDDM Letters'!F14+'NP EDDM Flats'!F14+'NP HD Plus Letters'!F14+'NP HD Plus Flats'!F14+'NP HD Letters'!F14+'NP HD Flats'!F14+'NP Parcels'!F14</f>
        <v>6063640646.206919</v>
      </c>
      <c r="G14" s="13">
        <f>SUM(C14:F14)</f>
        <v>25369689905.86612</v>
      </c>
      <c r="H14" s="68" t="str">
        <f>"= b * "&amp;ROUND(Inputs!C15,2)*100&amp;"%"</f>
        <v>= b * 50%</v>
      </c>
    </row>
    <row r="15" spans="1:9" ht="9.75">
      <c r="A15" s="20" t="s">
        <v>30</v>
      </c>
      <c r="B15" s="1" t="str">
        <f>"Total Threshold"&amp;" FY23"</f>
        <v>Total Threshold FY23</v>
      </c>
      <c r="C15" s="12">
        <f>'Reg Letters'!C15+'Reg Flats'!C15+'Reg Carrier Route Letters'!C15+'Reg Carrier Route Flats'!C15+'Reg-Sat Letters'!C15+'Reg-Sat Flats'!C15+'Reg-EDDM Letters'!C15+'Reg-EDDM Flats'!C15+'Reg-HD Plus Letters'!C15+'Reg-HD Plus Flats'!C15+'Reg HD Letters'!C15+'Reg HD Flats'!C15+'Reg Parcels'!C15+'NP Letters'!C15+'NP Flats'!C15+'NP Carrier Route Letters '!C15+'NP Carrier Route Flats'!C15+'NP Sat Letters'!C15+'NP Sat Flats'!C15+'NP EDDM Letters'!C15+'NP EDDM Flats'!C15+'NP HD Plus Letters'!C15+'NP HD Plus Flats'!C15+'NP HD Letters'!C15+'NP HD Flats'!C15+'NP Parcels'!C15</f>
        <v>7465313136.983603</v>
      </c>
      <c r="D15" s="12">
        <f>'Reg Letters'!D15+'Reg Flats'!D15+'Reg Carrier Route Letters'!D15+'Reg Carrier Route Flats'!D15+'Reg-Sat Letters'!D15+'Reg-Sat Flats'!D15+'Reg-EDDM Letters'!D15+'Reg-EDDM Flats'!D15+'Reg-HD Plus Letters'!D15+'Reg-HD Plus Flats'!D15+'Reg HD Letters'!D15+'Reg HD Flats'!D15+'Reg Parcels'!D15+'NP Letters'!D15+'NP Flats'!D15+'NP Carrier Route Letters '!D15+'NP Carrier Route Flats'!D15+'NP Sat Letters'!D15+'NP Sat Flats'!D15+'NP EDDM Letters'!D15+'NP EDDM Flats'!D15+'NP HD Plus Letters'!D15+'NP HD Plus Flats'!D15+'NP HD Letters'!D15+'NP HD Flats'!D15+'NP Parcels'!D15</f>
        <v>5853414433.133571</v>
      </c>
      <c r="E15" s="12">
        <f>'Reg Letters'!E15+'Reg Flats'!E15+'Reg Carrier Route Letters'!E15+'Reg Carrier Route Flats'!E15+'Reg-Sat Letters'!E15+'Reg-Sat Flats'!E15+'Reg-EDDM Letters'!E15+'Reg-EDDM Flats'!E15+'Reg-HD Plus Letters'!E15+'Reg-HD Plus Flats'!E15+'Reg HD Letters'!E15+'Reg HD Flats'!E15+'Reg Parcels'!E15+'NP Letters'!E15+'NP Flats'!E15+'NP Carrier Route Letters '!E15+'NP Carrier Route Flats'!E15+'NP Sat Letters'!E15+'NP Sat Flats'!E15+'NP EDDM Letters'!E15+'NP EDDM Flats'!E15+'NP HD Plus Letters'!E15+'NP HD Plus Flats'!E15+'NP HD Letters'!E15+'NP HD Flats'!E15+'NP Parcels'!E15</f>
        <v>5987321689.54203</v>
      </c>
      <c r="F15" s="12">
        <f>'Reg Letters'!F15+'Reg Flats'!F15+'Reg Carrier Route Letters'!F15+'Reg Carrier Route Flats'!F15+'Reg-Sat Letters'!F15+'Reg-Sat Flats'!F15+'Reg-EDDM Letters'!F15+'Reg-EDDM Flats'!F15+'Reg-HD Plus Letters'!F15+'Reg-HD Plus Flats'!F15+'Reg HD Letters'!F15+'Reg HD Flats'!F15+'Reg Parcels'!F15+'NP Letters'!F15+'NP Flats'!F15+'NP Carrier Route Letters '!F15+'NP Carrier Route Flats'!F15+'NP Sat Letters'!F15+'NP Sat Flats'!F15+'NP EDDM Letters'!F15+'NP EDDM Flats'!F15+'NP HD Plus Letters'!F15+'NP HD Plus Flats'!F15+'NP HD Letters'!F15+'NP HD Flats'!F15+'NP Parcels'!F15</f>
        <v>6063640646.206919</v>
      </c>
      <c r="G15" s="13">
        <f>SUM(C15:F15)</f>
        <v>25369689905.86612</v>
      </c>
      <c r="H15" s="68" t="str">
        <f>"= c * "&amp;Inputs!C8*100&amp;"%"</f>
        <v>= c * 100%</v>
      </c>
      <c r="I15" s="52"/>
    </row>
    <row r="16" spans="1:8" ht="9.75">
      <c r="A16" s="20" t="s">
        <v>31</v>
      </c>
      <c r="B16" s="1" t="s">
        <v>61</v>
      </c>
      <c r="C16" s="12">
        <f>'Reg Letters'!C16+'Reg Flats'!C16+'Reg Carrier Route Letters'!C16+'Reg Carrier Route Flats'!C16+'Reg-Sat Letters'!C16+'Reg-Sat Flats'!C16+'Reg-EDDM Letters'!C16+'Reg-EDDM Flats'!C16+'Reg-HD Plus Letters'!C16+'Reg-HD Plus Flats'!C16+'Reg HD Letters'!C16+'Reg HD Flats'!C16+'Reg Parcels'!C16+'NP Letters'!C16+'NP Flats'!C16+'NP Carrier Route Letters '!C16+'NP Carrier Route Flats'!C16+'NP Sat Letters'!C16+'NP Sat Flats'!C16+'NP EDDM Letters'!C16+'NP EDDM Flats'!C16+'NP HD Plus Letters'!C16+'NP HD Plus Flats'!C16+'NP HD Letters'!C16+'NP HD Flats'!C16+'NP Parcels'!C16</f>
        <v>8301428208.325766</v>
      </c>
      <c r="D16" s="12">
        <f>'Reg Letters'!D16+'Reg Flats'!D16+'Reg Carrier Route Letters'!D16+'Reg Carrier Route Flats'!D16+'Reg-Sat Letters'!D16+'Reg-Sat Flats'!D16+'Reg-EDDM Letters'!D16+'Reg-EDDM Flats'!D16+'Reg-HD Plus Letters'!D16+'Reg-HD Plus Flats'!D16+'Reg HD Letters'!D16+'Reg HD Flats'!D16+'Reg Parcels'!D16+'NP Letters'!D16+'NP Flats'!D16+'NP Carrier Route Letters '!D16+'NP Carrier Route Flats'!D16+'NP Sat Letters'!D16+'NP Sat Flats'!D16+'NP EDDM Letters'!D16+'NP EDDM Flats'!D16+'NP HD Plus Letters'!D16+'NP HD Plus Flats'!D16+'NP HD Letters'!D16+'NP HD Flats'!D16+'NP Parcels'!D16</f>
        <v>6508996849.644529</v>
      </c>
      <c r="E16" s="12">
        <f>'Reg Letters'!E16+'Reg Flats'!E16+'Reg Carrier Route Letters'!E16+'Reg Carrier Route Flats'!E16+'Reg-Sat Letters'!E16+'Reg-Sat Flats'!E16+'Reg-EDDM Letters'!E16+'Reg-EDDM Flats'!E16+'Reg-HD Plus Letters'!E16+'Reg-HD Plus Flats'!E16+'Reg HD Letters'!E16+'Reg HD Flats'!E16+'Reg Parcels'!E16+'NP Letters'!E16+'NP Flats'!E16+'NP Carrier Route Letters '!E16+'NP Carrier Route Flats'!E16+'NP Sat Letters'!E16+'NP Sat Flats'!E16+'NP EDDM Letters'!E16+'NP EDDM Flats'!E16+'NP HD Plus Letters'!E16+'NP HD Plus Flats'!E16+'NP HD Letters'!E16+'NP HD Flats'!E16+'NP Parcels'!E16</f>
        <v>6657901718.770737</v>
      </c>
      <c r="F16" s="12">
        <f>'Reg Letters'!F16+'Reg Flats'!F16+'Reg Carrier Route Letters'!F16+'Reg Carrier Route Flats'!F16+'Reg-Sat Letters'!F16+'Reg-Sat Flats'!F16+'Reg-EDDM Letters'!F16+'Reg-EDDM Flats'!F16+'Reg-HD Plus Letters'!F16+'Reg-HD Plus Flats'!F16+'Reg HD Letters'!F16+'Reg HD Flats'!F16+'Reg Parcels'!F16+'NP Letters'!F16+'NP Flats'!F16+'NP Carrier Route Letters '!F16+'NP Carrier Route Flats'!F16+'NP Sat Letters'!F16+'NP Sat Flats'!F16+'NP EDDM Letters'!F16+'NP EDDM Flats'!F16+'NP HD Plus Letters'!F16+'NP HD Plus Flats'!F16+'NP HD Letters'!F16+'NP HD Flats'!F16+'NP Parcels'!F16</f>
        <v>6742768398.582096</v>
      </c>
      <c r="G16" s="13">
        <f>SUM(C16:F16)</f>
        <v>28211095175.323128</v>
      </c>
      <c r="H16" s="69"/>
    </row>
    <row r="17" spans="3:8" ht="9.75">
      <c r="C17" s="12"/>
      <c r="D17" s="13"/>
      <c r="E17" s="13"/>
      <c r="F17" s="13"/>
      <c r="G17" s="13"/>
      <c r="H17" s="69"/>
    </row>
    <row r="18" spans="2:8" ht="9.75">
      <c r="B18" s="5" t="s">
        <v>23</v>
      </c>
      <c r="C18" s="12"/>
      <c r="D18" s="13"/>
      <c r="E18" s="13"/>
      <c r="F18" s="13"/>
      <c r="G18" s="13"/>
      <c r="H18" s="69"/>
    </row>
    <row r="19" spans="1:15" ht="9.75">
      <c r="A19" s="20" t="s">
        <v>32</v>
      </c>
      <c r="B19" s="1" t="s">
        <v>127</v>
      </c>
      <c r="C19" s="12">
        <f>'Reg Letters'!C19+'Reg Flats'!C19+'Reg Carrier Route Letters'!C19+'Reg Carrier Route Flats'!C19+'Reg-Sat Letters'!C19+'Reg-Sat Flats'!C19+'Reg-EDDM Letters'!C19+'Reg-EDDM Flats'!C19+'Reg-HD Plus Letters'!C19+'Reg-HD Plus Flats'!C19+'Reg HD Letters'!C19+'Reg HD Flats'!C19+'Reg Parcels'!C19+'NP Letters'!C19+'NP Flats'!C19+'NP Carrier Route Letters '!C19+'NP Carrier Route Flats'!C19+'NP Sat Letters'!C19+'NP Sat Flats'!C19+'NP EDDM Letters'!C19+'NP EDDM Flats'!C19+'NP HD Plus Letters'!C19+'NP HD Plus Flats'!C19+'NP HD Letters'!C19+'NP HD Flats'!C19+'NP Parcels'!C19</f>
        <v>2986125254.793441</v>
      </c>
      <c r="D19" s="12">
        <f>'Reg Letters'!D19+'Reg Flats'!D19+'Reg Carrier Route Letters'!D19+'Reg Carrier Route Flats'!D19+'Reg-Sat Letters'!D19+'Reg-Sat Flats'!D19+'Reg-EDDM Letters'!D19+'Reg-EDDM Flats'!D19+'Reg-HD Plus Letters'!D19+'Reg-HD Plus Flats'!D19+'Reg HD Letters'!D19+'Reg HD Flats'!D19+'Reg Parcels'!D19+'NP Letters'!D19+'NP Flats'!D19+'NP Carrier Route Letters '!D19+'NP Carrier Route Flats'!D19+'NP Sat Letters'!D19+'NP Sat Flats'!D19+'NP EDDM Letters'!D19+'NP EDDM Flats'!D19+'NP HD Plus Letters'!D19+'NP HD Plus Flats'!D19+'NP HD Letters'!D19+'NP HD Flats'!D19+'NP Parcels'!D19</f>
        <v>2341365773.253429</v>
      </c>
      <c r="E19" s="12">
        <f>'Reg Letters'!E19+'Reg Flats'!E19+'Reg Carrier Route Letters'!E19+'Reg Carrier Route Flats'!E19+'Reg-Sat Letters'!E19+'Reg-Sat Flats'!E19+'Reg-EDDM Letters'!E19+'Reg-EDDM Flats'!E19+'Reg-HD Plus Letters'!E19+'Reg-HD Plus Flats'!E19+'Reg HD Letters'!E19+'Reg HD Flats'!E19+'Reg Parcels'!E19+'NP Letters'!E19+'NP Flats'!E19+'NP Carrier Route Letters '!E19+'NP Carrier Route Flats'!E19+'NP Sat Letters'!E19+'NP Sat Flats'!E19+'NP EDDM Letters'!E19+'NP EDDM Flats'!E19+'NP HD Plus Letters'!E19+'NP HD Plus Flats'!E19+'NP HD Letters'!E19+'NP HD Flats'!E19+'NP Parcels'!E19</f>
        <v>2394928675.816812</v>
      </c>
      <c r="F19" s="12">
        <f>'Reg Letters'!F19+'Reg Flats'!F19+'Reg Carrier Route Letters'!F19+'Reg Carrier Route Flats'!F19+'Reg-Sat Letters'!F19+'Reg-Sat Flats'!F19+'Reg-EDDM Letters'!F19+'Reg-EDDM Flats'!F19+'Reg-HD Plus Letters'!F19+'Reg-HD Plus Flats'!F19+'Reg HD Letters'!F19+'Reg HD Flats'!F19+'Reg Parcels'!F19+'NP Letters'!F19+'NP Flats'!F19+'NP Carrier Route Letters '!F19+'NP Carrier Route Flats'!F19+'NP Sat Letters'!F19+'NP Sat Flats'!F19+'NP EDDM Letters'!F19+'NP EDDM Flats'!F19+'NP HD Plus Letters'!F19+'NP HD Plus Flats'!F19+'NP HD Letters'!F19+'NP HD Flats'!F19+'NP Parcels'!F19</f>
        <v>2425456258.4827676</v>
      </c>
      <c r="G19" s="13">
        <f>SUM(C19:F19)</f>
        <v>10147875962.346449</v>
      </c>
      <c r="H19" s="68" t="str">
        <f>"= c * "&amp;Inputs!C16*100&amp;"%"</f>
        <v>= c * 40%</v>
      </c>
      <c r="I19" s="122"/>
      <c r="O19" s="45"/>
    </row>
    <row r="20" spans="1:8" ht="9.75">
      <c r="A20" s="20" t="s">
        <v>33</v>
      </c>
      <c r="B20" s="1" t="s">
        <v>5</v>
      </c>
      <c r="C20" s="12">
        <f>'Reg Letters'!C20+'Reg Flats'!C20+'Reg Carrier Route Letters'!C20+'Reg Carrier Route Flats'!C20+'Reg-Sat Letters'!C20+'Reg-Sat Flats'!C20+'Reg-EDDM Letters'!C20+'Reg-EDDM Flats'!C20+'Reg-HD Plus Letters'!C20+'Reg-HD Plus Flats'!C20+'Reg HD Letters'!C20+'Reg HD Flats'!C20+'Reg Parcels'!C20+'NP Letters'!C20+'NP Flats'!C20+'NP Carrier Route Letters '!C20+'NP Carrier Route Flats'!C20+'NP Sat Letters'!C20+'NP Sat Flats'!C20+'NP EDDM Letters'!C20+'NP EDDM Flats'!C20+'NP HD Plus Letters'!C20+'NP HD Plus Flats'!C20+'NP HD Letters'!C20+'NP HD Flats'!C20+'NP Parcels'!C20</f>
        <v>2986125254.793441</v>
      </c>
      <c r="D20" s="12">
        <f>'Reg Letters'!D20+'Reg Flats'!D20+'Reg Carrier Route Letters'!D20+'Reg Carrier Route Flats'!D20+'Reg-Sat Letters'!D20+'Reg-Sat Flats'!D20+'Reg-EDDM Letters'!D20+'Reg-EDDM Flats'!D20+'Reg-HD Plus Letters'!D20+'Reg-HD Plus Flats'!D20+'Reg HD Letters'!D20+'Reg HD Flats'!D20+'Reg Parcels'!D20+'NP Letters'!D20+'NP Flats'!D20+'NP Carrier Route Letters '!D20+'NP Carrier Route Flats'!D20+'NP Sat Letters'!D20+'NP Sat Flats'!D20+'NP EDDM Letters'!D20+'NP EDDM Flats'!D20+'NP HD Plus Letters'!D20+'NP HD Plus Flats'!D20+'NP HD Letters'!D20+'NP HD Flats'!D20+'NP Parcels'!D20</f>
        <v>2341365773.253429</v>
      </c>
      <c r="E20" s="12">
        <f>'Reg Letters'!E20+'Reg Flats'!E20+'Reg Carrier Route Letters'!E20+'Reg Carrier Route Flats'!E20+'Reg-Sat Letters'!E20+'Reg-Sat Flats'!E20+'Reg-EDDM Letters'!E20+'Reg-EDDM Flats'!E20+'Reg-HD Plus Letters'!E20+'Reg-HD Plus Flats'!E20+'Reg HD Letters'!E20+'Reg HD Flats'!E20+'Reg Parcels'!E20+'NP Letters'!E20+'NP Flats'!E20+'NP Carrier Route Letters '!E20+'NP Carrier Route Flats'!E20+'NP Sat Letters'!E20+'NP Sat Flats'!E20+'NP EDDM Letters'!E20+'NP EDDM Flats'!E20+'NP HD Plus Letters'!E20+'NP HD Plus Flats'!E20+'NP HD Letters'!E20+'NP HD Flats'!E20+'NP Parcels'!E20</f>
        <v>2394928675.816812</v>
      </c>
      <c r="F20" s="12">
        <f>'Reg Letters'!F20+'Reg Flats'!F20+'Reg Carrier Route Letters'!F20+'Reg Carrier Route Flats'!F20+'Reg-Sat Letters'!F20+'Reg-Sat Flats'!F20+'Reg-EDDM Letters'!F20+'Reg-EDDM Flats'!F20+'Reg-HD Plus Letters'!F20+'Reg-HD Plus Flats'!F20+'Reg HD Letters'!F20+'Reg HD Flats'!F20+'Reg Parcels'!F20+'NP Letters'!F20+'NP Flats'!F20+'NP Carrier Route Letters '!F20+'NP Carrier Route Flats'!F20+'NP Sat Letters'!F20+'NP Sat Flats'!F20+'NP EDDM Letters'!F20+'NP EDDM Flats'!F20+'NP HD Plus Letters'!F20+'NP HD Plus Flats'!F20+'NP HD Letters'!F20+'NP HD Flats'!F20+'NP Parcels'!F20</f>
        <v>2425456258.4827676</v>
      </c>
      <c r="G20" s="13">
        <f>SUM(C20:F20)</f>
        <v>10147875962.346449</v>
      </c>
      <c r="H20" s="68" t="str">
        <f>"= f * "&amp;Inputs!C8*100&amp;"%"</f>
        <v>= f * 100%</v>
      </c>
    </row>
    <row r="21" spans="1:9" ht="9.75">
      <c r="A21" s="20" t="s">
        <v>34</v>
      </c>
      <c r="B21" s="1" t="s">
        <v>62</v>
      </c>
      <c r="C21" s="12">
        <f>'Reg Letters'!C21+'Reg Flats'!C21+'Reg Carrier Route Letters'!C21+'Reg Carrier Route Flats'!C21+'Reg-Sat Letters'!C21+'Reg-Sat Flats'!C21+'Reg-EDDM Letters'!C21+'Reg-EDDM Flats'!C21+'Reg-HD Plus Letters'!C21+'Reg-HD Plus Flats'!C21+'Reg HD Letters'!C21+'Reg HD Flats'!C21+'Reg Parcels'!C21+'NP Letters'!C21+'NP Flats'!C21+'NP Carrier Route Letters '!C21+'NP Carrier Route Flats'!C21+'NP Sat Letters'!C21+'NP Sat Flats'!C21+'NP EDDM Letters'!C21+'NP EDDM Flats'!C21+'NP HD Plus Letters'!C21+'NP HD Plus Flats'!C21+'NP HD Letters'!C21+'NP HD Flats'!C21+'NP Parcels'!C21</f>
        <v>3822240326.1356053</v>
      </c>
      <c r="D21" s="12">
        <f>'Reg Letters'!D21+'Reg Flats'!D21+'Reg Carrier Route Letters'!D21+'Reg Carrier Route Flats'!D21+'Reg-Sat Letters'!D21+'Reg-Sat Flats'!D21+'Reg-EDDM Letters'!D21+'Reg-EDDM Flats'!D21+'Reg-HD Plus Letters'!D21+'Reg-HD Plus Flats'!D21+'Reg HD Letters'!D21+'Reg HD Flats'!D21+'Reg Parcels'!D21+'NP Letters'!D21+'NP Flats'!D21+'NP Carrier Route Letters '!D21+'NP Carrier Route Flats'!D21+'NP Sat Letters'!D21+'NP Sat Flats'!D21+'NP EDDM Letters'!D21+'NP EDDM Flats'!D21+'NP HD Plus Letters'!D21+'NP HD Plus Flats'!D21+'NP HD Letters'!D21+'NP HD Flats'!D21+'NP Parcels'!D21</f>
        <v>2996948189.7643886</v>
      </c>
      <c r="E21" s="12">
        <f>'Reg Letters'!E21+'Reg Flats'!E21+'Reg Carrier Route Letters'!E21+'Reg Carrier Route Flats'!E21+'Reg-Sat Letters'!E21+'Reg-Sat Flats'!E21+'Reg-EDDM Letters'!E21+'Reg-EDDM Flats'!E21+'Reg-HD Plus Letters'!E21+'Reg-HD Plus Flats'!E21+'Reg HD Letters'!E21+'Reg HD Flats'!E21+'Reg Parcels'!E21+'NP Letters'!E21+'NP Flats'!E21+'NP Carrier Route Letters '!E21+'NP Carrier Route Flats'!E21+'NP Sat Letters'!E21+'NP Sat Flats'!E21+'NP EDDM Letters'!E21+'NP EDDM Flats'!E21+'NP HD Plus Letters'!E21+'NP HD Plus Flats'!E21+'NP HD Letters'!E21+'NP HD Flats'!E21+'NP Parcels'!E21</f>
        <v>3065508705.0455213</v>
      </c>
      <c r="F21" s="12">
        <f>'Reg Letters'!F21+'Reg Flats'!F21+'Reg Carrier Route Letters'!F21+'Reg Carrier Route Flats'!F21+'Reg-Sat Letters'!F21+'Reg-Sat Flats'!F21+'Reg-EDDM Letters'!F21+'Reg-EDDM Flats'!F21+'Reg-HD Plus Letters'!F21+'Reg-HD Plus Flats'!F21+'Reg HD Letters'!F21+'Reg HD Flats'!F21+'Reg Parcels'!F21+'NP Letters'!F21+'NP Flats'!F21+'NP Carrier Route Letters '!F21+'NP Carrier Route Flats'!F21+'NP Sat Letters'!F21+'NP Sat Flats'!F21+'NP EDDM Letters'!F21+'NP EDDM Flats'!F21+'NP HD Plus Letters'!F21+'NP HD Plus Flats'!F21+'NP HD Letters'!F21+'NP HD Flats'!F21+'NP Parcels'!F21</f>
        <v>3104584010.857942</v>
      </c>
      <c r="G21" s="13">
        <f>SUM(C21:F21)</f>
        <v>12989281231.803457</v>
      </c>
      <c r="H21" s="70" t="str">
        <f>"= g * (1+"&amp;Inputs!C18*100&amp;"%)"</f>
        <v>= g * (1+28%)</v>
      </c>
      <c r="I21" s="45"/>
    </row>
    <row r="22" spans="1:9" ht="9.75">
      <c r="A22" s="20" t="s">
        <v>35</v>
      </c>
      <c r="B22" s="43" t="s">
        <v>14</v>
      </c>
      <c r="C22" s="12">
        <f>'Reg Letters'!C22+'Reg Flats'!C22+'Reg Carrier Route Letters'!C22+'Reg Carrier Route Flats'!C22+'Reg-Sat Letters'!C22+'Reg-Sat Flats'!C22+'Reg-EDDM Letters'!C22+'Reg-EDDM Flats'!C22+'Reg-HD Plus Letters'!C22+'Reg-HD Plus Flats'!C22+'Reg HD Letters'!C22+'Reg HD Flats'!C22+'Reg Parcels'!C22+'NP Letters'!C22+'NP Flats'!C22+'NP Carrier Route Letters '!C22+'NP Carrier Route Flats'!C22+'NP Sat Letters'!C22+'NP Sat Flats'!C22+'NP EDDM Letters'!C22+'NP EDDM Flats'!C22+'NP HD Plus Letters'!C22+'NP HD Plus Flats'!C22+'NP HD Letters'!C22+'NP HD Flats'!C22+'NP Parcels'!C22</f>
        <v>836115071.3421638</v>
      </c>
      <c r="D22" s="12">
        <f>'Reg Letters'!D22+'Reg Flats'!D22+'Reg Carrier Route Letters'!D22+'Reg Carrier Route Flats'!D22+'Reg-Sat Letters'!D22+'Reg-Sat Flats'!D22+'Reg-EDDM Letters'!D22+'Reg-EDDM Flats'!D22+'Reg-HD Plus Letters'!D22+'Reg-HD Plus Flats'!D22+'Reg HD Letters'!D22+'Reg HD Flats'!D22+'Reg Parcels'!D22+'NP Letters'!D22+'NP Flats'!D22+'NP Carrier Route Letters '!D22+'NP Carrier Route Flats'!D22+'NP Sat Letters'!D22+'NP Sat Flats'!D22+'NP EDDM Letters'!D22+'NP EDDM Flats'!D22+'NP HD Plus Letters'!D22+'NP HD Plus Flats'!D22+'NP HD Letters'!D22+'NP HD Flats'!D22+'NP Parcels'!D22</f>
        <v>655582416.51096</v>
      </c>
      <c r="E22" s="12">
        <f>'Reg Letters'!E22+'Reg Flats'!E22+'Reg Carrier Route Letters'!E22+'Reg Carrier Route Flats'!E22+'Reg-Sat Letters'!E22+'Reg-Sat Flats'!E22+'Reg-EDDM Letters'!E22+'Reg-EDDM Flats'!E22+'Reg-HD Plus Letters'!E22+'Reg-HD Plus Flats'!E22+'Reg HD Letters'!E22+'Reg HD Flats'!E22+'Reg Parcels'!E22+'NP Letters'!E22+'NP Flats'!E22+'NP Carrier Route Letters '!E22+'NP Carrier Route Flats'!E22+'NP Sat Letters'!E22+'NP Sat Flats'!E22+'NP EDDM Letters'!E22+'NP EDDM Flats'!E22+'NP HD Plus Letters'!E22+'NP HD Plus Flats'!E22+'NP HD Letters'!E22+'NP HD Flats'!E22+'NP Parcels'!E22</f>
        <v>670580029.2287078</v>
      </c>
      <c r="F22" s="12">
        <f>'Reg Letters'!F22+'Reg Flats'!F22+'Reg Carrier Route Letters'!F22+'Reg Carrier Route Flats'!F22+'Reg-Sat Letters'!F22+'Reg-Sat Flats'!F22+'Reg-EDDM Letters'!F22+'Reg-EDDM Flats'!F22+'Reg-HD Plus Letters'!F22+'Reg-HD Plus Flats'!F22+'Reg HD Letters'!F22+'Reg HD Flats'!F22+'Reg Parcels'!F22+'NP Letters'!F22+'NP Flats'!F22+'NP Carrier Route Letters '!F22+'NP Carrier Route Flats'!F22+'NP Sat Letters'!F22+'NP Sat Flats'!F22+'NP EDDM Letters'!F22+'NP EDDM Flats'!F22+'NP HD Plus Letters'!F22+'NP HD Plus Flats'!F22+'NP HD Letters'!F22+'NP HD Flats'!F22+'NP Parcels'!F22</f>
        <v>679127752.3751749</v>
      </c>
      <c r="G22" s="13">
        <f>SUM(C22:F22)</f>
        <v>2841405269.4570065</v>
      </c>
      <c r="H22" s="70" t="s">
        <v>132</v>
      </c>
      <c r="I22" s="45"/>
    </row>
    <row r="23" spans="1:9" ht="9.75">
      <c r="A23" s="20" t="s">
        <v>36</v>
      </c>
      <c r="B23" s="62" t="s">
        <v>8</v>
      </c>
      <c r="C23" s="51">
        <f>'Reg Letters'!C23+'Reg Flats'!C23+'Reg Carrier Route Letters'!C23+'Reg Carrier Route Flats'!C23+'Reg-Sat Letters'!C23+'Reg-Sat Flats'!C23+'Reg-EDDM Letters'!C23+'Reg-EDDM Flats'!C23+'Reg-HD Plus Letters'!C23+'Reg-HD Plus Flats'!C23+'Reg HD Letters'!C23+'Reg HD Flats'!C23+'Reg Parcels'!C23+'NP Letters'!C23+'NP Flats'!C23+'NP Carrier Route Letters '!C23+'NP Carrier Route Flats'!C23+'NP Sat Letters'!C23+'NP Sat Flats'!C23+'NP EDDM Letters'!C23+'NP EDDM Flats'!C23+'NP HD Plus Letters'!C23+'NP HD Plus Flats'!C23+'NP HD Letters'!C23+'NP HD Flats'!C23+'NP Parcels'!C23</f>
        <v>836115071.3421638</v>
      </c>
      <c r="D23" s="51">
        <f>'Reg Letters'!D23+'Reg Flats'!D23+'Reg Carrier Route Letters'!D23+'Reg Carrier Route Flats'!D23+'Reg-Sat Letters'!D23+'Reg-Sat Flats'!D23+'Reg-EDDM Letters'!D23+'Reg-EDDM Flats'!D23+'Reg-HD Plus Letters'!D23+'Reg-HD Plus Flats'!D23+'Reg HD Letters'!D23+'Reg HD Flats'!D23+'Reg Parcels'!D23+'NP Letters'!D23+'NP Flats'!D23+'NP Carrier Route Letters '!D23+'NP Carrier Route Flats'!D23+'NP Sat Letters'!D23+'NP Sat Flats'!D23+'NP EDDM Letters'!D23+'NP EDDM Flats'!D23+'NP HD Plus Letters'!D23+'NP HD Plus Flats'!D23+'NP HD Letters'!D23+'NP HD Flats'!D23+'NP Parcels'!D23</f>
        <v>655582416.51096</v>
      </c>
      <c r="E23" s="51">
        <f>'Reg Letters'!E23+'Reg Flats'!E23+'Reg Carrier Route Letters'!E23+'Reg Carrier Route Flats'!E23+'Reg-Sat Letters'!E23+'Reg-Sat Flats'!E23+'Reg-EDDM Letters'!E23+'Reg-EDDM Flats'!E23+'Reg-HD Plus Letters'!E23+'Reg-HD Plus Flats'!E23+'Reg HD Letters'!E23+'Reg HD Flats'!E23+'Reg Parcels'!E23+'NP Letters'!E23+'NP Flats'!E23+'NP Carrier Route Letters '!E23+'NP Carrier Route Flats'!E23+'NP Sat Letters'!E23+'NP Sat Flats'!E23+'NP EDDM Letters'!E23+'NP EDDM Flats'!E23+'NP HD Plus Letters'!E23+'NP HD Plus Flats'!E23+'NP HD Letters'!E23+'NP HD Flats'!E23+'NP Parcels'!E23</f>
        <v>670580029.2287078</v>
      </c>
      <c r="F23" s="51">
        <f>'Reg Letters'!F23+'Reg Flats'!F23+'Reg Carrier Route Letters'!F23+'Reg Carrier Route Flats'!F23+'Reg-Sat Letters'!F23+'Reg-Sat Flats'!F23+'Reg-EDDM Letters'!F23+'Reg-EDDM Flats'!F23+'Reg-HD Plus Letters'!F23+'Reg-HD Plus Flats'!F23+'Reg HD Letters'!F23+'Reg HD Flats'!F23+'Reg Parcels'!F23+'NP Letters'!F23+'NP Flats'!F23+'NP Carrier Route Letters '!F23+'NP Carrier Route Flats'!F23+'NP Sat Letters'!F23+'NP Sat Flats'!F23+'NP EDDM Letters'!F23+'NP EDDM Flats'!F23+'NP HD Plus Letters'!F23+'NP HD Plus Flats'!F23+'NP HD Letters'!F23+'NP HD Flats'!F23+'NP Parcels'!F23</f>
        <v>679127752.3751749</v>
      </c>
      <c r="G23" s="51">
        <f>SUM(C23:F23)</f>
        <v>2841405269.4570065</v>
      </c>
      <c r="H23" s="68" t="s">
        <v>133</v>
      </c>
      <c r="I23" s="75"/>
    </row>
    <row r="24" spans="3:8" ht="9.75">
      <c r="C24" s="12"/>
      <c r="D24" s="13"/>
      <c r="E24" s="13"/>
      <c r="F24" s="13"/>
      <c r="G24" s="13"/>
      <c r="H24" s="69"/>
    </row>
    <row r="25" spans="2:8" ht="9.75">
      <c r="B25" s="5" t="s">
        <v>21</v>
      </c>
      <c r="C25" s="12"/>
      <c r="D25" s="13"/>
      <c r="E25" s="13"/>
      <c r="F25" s="13"/>
      <c r="G25" s="13"/>
      <c r="H25" s="69"/>
    </row>
    <row r="26" spans="1:9" ht="9.75">
      <c r="A26" s="20" t="s">
        <v>37</v>
      </c>
      <c r="B26" s="1" t="s">
        <v>116</v>
      </c>
      <c r="C26" s="10">
        <f>'Reg Letters'!C28+'Reg Flats'!C28+'Reg Carrier Route Letters'!C28+'Reg Carrier Route Flats'!C28+'Reg-Sat Letters'!C28+'Reg-Sat Flats'!C28+'Reg-EDDM Letters'!C28+'Reg-EDDM Flats'!C28+'Reg-HD Plus Letters'!C28+'Reg-HD Plus Flats'!C28+'Reg HD Letters'!C28+'Reg HD Flats'!C28+'Reg Parcels'!C28+'NP Letters'!C28+'NP Flats'!C28+'NP Carrier Route Letters '!C28+'NP Carrier Route Flats'!C28+'NP Sat Letters'!C28+'NP Sat Flats'!C28+'NP EDDM Letters'!C28+'NP EDDM Flats'!C28+'NP HD Plus Letters'!C28+'NP HD Plus Flats'!C28+'NP HD Letters'!C28+'NP HD Flats'!C28+'NP Parcels'!C28</f>
        <v>973584739.6135547</v>
      </c>
      <c r="D26" s="8">
        <f>'Reg Letters'!D28+'Reg Flats'!D28+'Reg Carrier Route Letters'!D28+'Reg Carrier Route Flats'!D28+'Reg-Sat Letters'!D28+'Reg-Sat Flats'!D28+'Reg-EDDM Letters'!D28+'Reg-EDDM Flats'!D28+'Reg-HD Plus Letters'!D28+'Reg-HD Plus Flats'!D28+'Reg HD Letters'!D28+'Reg HD Flats'!D28+'Reg Parcels'!D28+'NP Letters'!D28+'NP Flats'!D28+'NP Carrier Route Letters '!D28+'NP Carrier Route Flats'!D28+'NP Sat Letters'!D28+'NP Sat Flats'!D28+'NP EDDM Letters'!D28+'NP EDDM Flats'!D28+'NP HD Plus Letters'!D28+'NP HD Plus Flats'!D28+'NP HD Letters'!D28+'NP HD Flats'!D28+'NP Parcels'!D28</f>
        <v>765814051.5683746</v>
      </c>
      <c r="E26" s="8">
        <f>'Reg Letters'!E28+'Reg Flats'!E28+'Reg Carrier Route Letters'!E28+'Reg Carrier Route Flats'!E28+'Reg-Sat Letters'!E28+'Reg-Sat Flats'!E28+'Reg-EDDM Letters'!E28+'Reg-EDDM Flats'!E28+'Reg-HD Plus Letters'!E28+'Reg-HD Plus Flats'!E28+'Reg HD Letters'!E28+'Reg HD Flats'!E28+'Reg Parcels'!E28+'NP Letters'!E28+'NP Flats'!E28+'NP Carrier Route Letters '!E28+'NP Carrier Route Flats'!E28+'NP Sat Letters'!E28+'NP Sat Flats'!E28+'NP EDDM Letters'!E28+'NP EDDM Flats'!E28+'NP HD Plus Letters'!E28+'NP HD Plus Flats'!E28+'NP HD Letters'!E28+'NP HD Flats'!E28+'NP Parcels'!E28</f>
        <v>785486536.6904736</v>
      </c>
      <c r="F26" s="8">
        <f>'Reg Letters'!F28+'Reg Flats'!F28+'Reg Carrier Route Letters'!F28+'Reg Carrier Route Flats'!F28+'Reg-Sat Letters'!F28+'Reg-Sat Flats'!F28+'Reg-EDDM Letters'!F28+'Reg-EDDM Flats'!F28+'Reg-HD Plus Letters'!F28+'Reg-HD Plus Flats'!F28+'Reg HD Letters'!F28+'Reg HD Flats'!F28+'Reg Parcels'!F28+'NP Letters'!F28+'NP Flats'!F28+'NP Carrier Route Letters '!F28+'NP Carrier Route Flats'!F28+'NP Sat Letters'!F28+'NP Sat Flats'!F28+'NP EDDM Letters'!F28+'NP EDDM Flats'!F28+'NP HD Plus Letters'!F28+'NP HD Plus Flats'!F28+'NP HD Letters'!F28+'NP HD Flats'!F28+'NP Parcels'!F28</f>
        <v>792774576.7527252</v>
      </c>
      <c r="G26" s="8">
        <f>SUM(C26:F26)</f>
        <v>3317659904.6251283</v>
      </c>
      <c r="H26" s="71"/>
      <c r="I26" s="122"/>
    </row>
    <row r="27" spans="1:9" ht="9.75">
      <c r="A27" s="20" t="s">
        <v>38</v>
      </c>
      <c r="B27" s="54" t="s">
        <v>26</v>
      </c>
      <c r="C27" s="10">
        <f>'Reg Letters'!C29+'Reg Flats'!C29+'Reg Carrier Route Letters'!C29+'Reg Carrier Route Flats'!C29+'Reg-Sat Letters'!C29+'Reg-Sat Flats'!C29+'Reg-EDDM Letters'!C29+'Reg-EDDM Flats'!C29+'Reg-HD Plus Letters'!C29+'Reg-HD Plus Flats'!C29+'Reg HD Letters'!C29+'Reg HD Flats'!C29+'Reg Parcels'!C29+'NP Letters'!C29+'NP Flats'!C29+'NP Carrier Route Letters '!C29+'NP Carrier Route Flats'!C29+'NP Sat Letters'!C29+'NP Sat Flats'!C29+'NP EDDM Letters'!C29+'NP EDDM Flats'!C29+'NP HD Plus Letters'!C29+'NP HD Plus Flats'!C29+'NP HD Letters'!C29+'NP HD Flats'!C29+'NP Parcels'!C29</f>
        <v>212971661.79046515</v>
      </c>
      <c r="D27" s="8">
        <f>'Reg Letters'!D29+'Reg Flats'!D29+'Reg Carrier Route Letters'!D29+'Reg Carrier Route Flats'!D29+'Reg-Sat Letters'!D29+'Reg-Sat Flats'!D29+'Reg-EDDM Letters'!D29+'Reg-EDDM Flats'!D29+'Reg-HD Plus Letters'!D29+'Reg-HD Plus Flats'!D29+'Reg HD Letters'!D29+'Reg HD Flats'!D29+'Reg Parcels'!D29+'NP Letters'!D29+'NP Flats'!D29+'NP Carrier Route Letters '!D29+'NP Carrier Route Flats'!D29+'NP Sat Letters'!D29+'NP Sat Flats'!D29+'NP EDDM Letters'!D29+'NP EDDM Flats'!D29+'NP HD Plus Letters'!D29+'NP HD Plus Flats'!D29+'NP HD Letters'!D29+'NP HD Flats'!D29+'NP Parcels'!D29</f>
        <v>167521823.78058195</v>
      </c>
      <c r="E27" s="8">
        <f>'Reg Letters'!E29+'Reg Flats'!E29+'Reg Carrier Route Letters'!E29+'Reg Carrier Route Flats'!E29+'Reg-Sat Letters'!E29+'Reg-Sat Flats'!E29+'Reg-EDDM Letters'!E29+'Reg-EDDM Flats'!E29+'Reg-HD Plus Letters'!E29+'Reg-HD Plus Flats'!E29+'Reg HD Letters'!E29+'Reg HD Flats'!E29+'Reg Parcels'!E29+'NP Letters'!E29+'NP Flats'!E29+'NP Carrier Route Letters '!E29+'NP Carrier Route Flats'!E29+'NP Sat Letters'!E29+'NP Sat Flats'!E29+'NP EDDM Letters'!E29+'NP EDDM Flats'!E29+'NP HD Plus Letters'!E29+'NP HD Plus Flats'!E29+'NP HD Letters'!E29+'NP HD Flats'!E29+'NP Parcels'!E29</f>
        <v>171825179.90104112</v>
      </c>
      <c r="F27" s="8">
        <f>'Reg Letters'!F29+'Reg Flats'!F29+'Reg Carrier Route Letters'!F29+'Reg Carrier Route Flats'!F29+'Reg-Sat Letters'!F29+'Reg-Sat Flats'!F29+'Reg-EDDM Letters'!F29+'Reg-EDDM Flats'!F29+'Reg-HD Plus Letters'!F29+'Reg-HD Plus Flats'!F29+'Reg HD Letters'!F29+'Reg HD Flats'!F29+'Reg Parcels'!F29+'NP Letters'!F29+'NP Flats'!F29+'NP Carrier Route Letters '!F29+'NP Carrier Route Flats'!F29+'NP Sat Letters'!F29+'NP Sat Flats'!F29+'NP EDDM Letters'!F29+'NP EDDM Flats'!F29+'NP HD Plus Letters'!F29+'NP HD Plus Flats'!F29+'NP HD Letters'!F29+'NP HD Flats'!F29+'NP Parcels'!F29</f>
        <v>173419438.66465873</v>
      </c>
      <c r="G27" s="8">
        <f>SUM(C27:F27)</f>
        <v>725738104.1367469</v>
      </c>
      <c r="H27" s="71"/>
      <c r="I27" s="122"/>
    </row>
    <row r="28" spans="1:16" ht="9.75">
      <c r="A28" s="20" t="s">
        <v>39</v>
      </c>
      <c r="B28" s="62" t="s">
        <v>22</v>
      </c>
      <c r="C28" s="48">
        <f>'Reg Letters'!C30+'Reg Flats'!C30+'Reg Carrier Route Letters'!C30+'Reg Carrier Route Flats'!C30+'Reg-Sat Letters'!C30+'Reg-Sat Flats'!C30+'Reg-EDDM Letters'!C30+'Reg-EDDM Flats'!C30+'Reg-HD Plus Letters'!C30+'Reg-HD Plus Flats'!C30+'Reg HD Letters'!C30+'Reg HD Flats'!C30+'Reg Parcels'!C30+'NP Letters'!C30+'NP Flats'!C30+'NP Carrier Route Letters '!C30+'NP Carrier Route Flats'!C30+'NP Sat Letters'!C30+'NP Sat Flats'!C30+'NP EDDM Letters'!C30+'NP EDDM Flats'!C30+'NP HD Plus Letters'!C30+'NP HD Plus Flats'!C30+'NP HD Letters'!C30+'NP HD Flats'!C30+'NP Parcels'!C30</f>
        <v>63891498.53713951</v>
      </c>
      <c r="D28" s="49">
        <f>'Reg Letters'!D30+'Reg Flats'!D30+'Reg Carrier Route Letters'!D30+'Reg Carrier Route Flats'!D30+'Reg-Sat Letters'!D30+'Reg-Sat Flats'!D30+'Reg-EDDM Letters'!D30+'Reg-EDDM Flats'!D30+'Reg-HD Plus Letters'!D30+'Reg-HD Plus Flats'!D30+'Reg HD Letters'!D30+'Reg HD Flats'!D30+'Reg Parcels'!D30+'NP Letters'!D30+'NP Flats'!D30+'NP Carrier Route Letters '!D30+'NP Carrier Route Flats'!D30+'NP Sat Letters'!D30+'NP Sat Flats'!D30+'NP EDDM Letters'!D30+'NP EDDM Flats'!D30+'NP HD Plus Letters'!D30+'NP HD Plus Flats'!D30+'NP HD Letters'!D30+'NP HD Flats'!D30+'NP Parcels'!D30</f>
        <v>50256547.13417457</v>
      </c>
      <c r="E28" s="49">
        <f>'Reg Letters'!E30+'Reg Flats'!E30+'Reg Carrier Route Letters'!E30+'Reg Carrier Route Flats'!E30+'Reg-Sat Letters'!E30+'Reg-Sat Flats'!E30+'Reg-EDDM Letters'!E30+'Reg-EDDM Flats'!E30+'Reg-HD Plus Letters'!E30+'Reg-HD Plus Flats'!E30+'Reg HD Letters'!E30+'Reg HD Flats'!E30+'Reg Parcels'!E30+'NP Letters'!E30+'NP Flats'!E30+'NP Carrier Route Letters '!E30+'NP Carrier Route Flats'!E30+'NP Sat Letters'!E30+'NP Sat Flats'!E30+'NP EDDM Letters'!E30+'NP EDDM Flats'!E30+'NP HD Plus Letters'!E30+'NP HD Plus Flats'!E30+'NP HD Letters'!E30+'NP HD Flats'!E30+'NP Parcels'!E30</f>
        <v>51547553.97031234</v>
      </c>
      <c r="F28" s="49">
        <f>'Reg Letters'!F30+'Reg Flats'!F30+'Reg Carrier Route Letters'!F30+'Reg Carrier Route Flats'!F30+'Reg-Sat Letters'!F30+'Reg-Sat Flats'!F30+'Reg-EDDM Letters'!F30+'Reg-EDDM Flats'!F30+'Reg-HD Plus Letters'!F30+'Reg-HD Plus Flats'!F30+'Reg HD Letters'!F30+'Reg HD Flats'!F30+'Reg Parcels'!F30+'NP Letters'!F30+'NP Flats'!F30+'NP Carrier Route Letters '!F30+'NP Carrier Route Flats'!F30+'NP Sat Letters'!F30+'NP Sat Flats'!F30+'NP EDDM Letters'!F30+'NP EDDM Flats'!F30+'NP HD Plus Letters'!F30+'NP HD Plus Flats'!F30+'NP HD Letters'!F30+'NP HD Flats'!F30+'NP Parcels'!F30</f>
        <v>52025831.599397615</v>
      </c>
      <c r="G28" s="49">
        <f>SUM(C28:F28)</f>
        <v>217721431.24102402</v>
      </c>
      <c r="H28" s="69"/>
      <c r="I28" s="45"/>
      <c r="K28" s="19"/>
      <c r="L28" s="19"/>
      <c r="N28" s="19"/>
      <c r="O28" s="19"/>
      <c r="P28" s="19"/>
    </row>
    <row r="29" spans="1:16" ht="9.75">
      <c r="A29" s="20" t="s">
        <v>40</v>
      </c>
      <c r="B29" s="54" t="s">
        <v>43</v>
      </c>
      <c r="C29" s="10">
        <f>'Reg Letters'!C31+'Reg Flats'!C31+'Reg Carrier Route Letters'!C31+'Reg Carrier Route Flats'!C31+'Reg-Sat Letters'!C31+'Reg-Sat Flats'!C31+'Reg-EDDM Letters'!C31+'Reg-EDDM Flats'!C31+'Reg-HD Plus Letters'!C31+'Reg-HD Plus Flats'!C31+'Reg HD Letters'!C31+'Reg HD Flats'!C31+'Reg Parcels'!C31+'NP Letters'!C31+'NP Flats'!C31+'NP Carrier Route Letters '!C31+'NP Carrier Route Flats'!C31+'NP Sat Letters'!C31+'NP Sat Flats'!C31+'NP EDDM Letters'!C31+'NP EDDM Flats'!C31+'NP HD Plus Letters'!C31+'NP HD Plus Flats'!C31+'NP HD Letters'!C31+'NP HD Flats'!C31+'NP Parcels'!C31</f>
        <v>149080163.25332558</v>
      </c>
      <c r="D29" s="8">
        <f>'Reg Letters'!D31+'Reg Flats'!D31+'Reg Carrier Route Letters'!D31+'Reg Carrier Route Flats'!D31+'Reg-Sat Letters'!D31+'Reg-Sat Flats'!D31+'Reg-EDDM Letters'!D31+'Reg-EDDM Flats'!D31+'Reg-HD Plus Letters'!D31+'Reg-HD Plus Flats'!D31+'Reg HD Letters'!D31+'Reg HD Flats'!D31+'Reg Parcels'!D31+'NP Letters'!D31+'NP Flats'!D31+'NP Carrier Route Letters '!D31+'NP Carrier Route Flats'!D31+'NP Sat Letters'!D31+'NP Sat Flats'!D31+'NP EDDM Letters'!D31+'NP EDDM Flats'!D31+'NP HD Plus Letters'!D31+'NP HD Plus Flats'!D31+'NP HD Letters'!D31+'NP HD Flats'!D31+'NP Parcels'!D31</f>
        <v>117265276.64640732</v>
      </c>
      <c r="E29" s="8">
        <f>'Reg Letters'!E31+'Reg Flats'!E31+'Reg Carrier Route Letters'!E31+'Reg Carrier Route Flats'!E31+'Reg-Sat Letters'!E31+'Reg-Sat Flats'!E31+'Reg-EDDM Letters'!E31+'Reg-EDDM Flats'!E31+'Reg-HD Plus Letters'!E31+'Reg-HD Plus Flats'!E31+'Reg HD Letters'!E31+'Reg HD Flats'!E31+'Reg Parcels'!E31+'NP Letters'!E31+'NP Flats'!E31+'NP Carrier Route Letters '!E31+'NP Carrier Route Flats'!E31+'NP Sat Letters'!E31+'NP Sat Flats'!E31+'NP EDDM Letters'!E31+'NP EDDM Flats'!E31+'NP HD Plus Letters'!E31+'NP HD Plus Flats'!E31+'NP HD Letters'!E31+'NP HD Flats'!E31+'NP Parcels'!E31</f>
        <v>120277625.93072872</v>
      </c>
      <c r="F29" s="8">
        <f>'Reg Letters'!F31+'Reg Flats'!F31+'Reg Carrier Route Letters'!F31+'Reg Carrier Route Flats'!F31+'Reg-Sat Letters'!F31+'Reg-Sat Flats'!F31+'Reg-EDDM Letters'!F31+'Reg-EDDM Flats'!F31+'Reg-HD Plus Letters'!F31+'Reg-HD Plus Flats'!F31+'Reg HD Letters'!F31+'Reg HD Flats'!F31+'Reg Parcels'!F31+'NP Letters'!F31+'NP Flats'!F31+'NP Carrier Route Letters '!F31+'NP Carrier Route Flats'!F31+'NP Sat Letters'!F31+'NP Sat Flats'!F31+'NP EDDM Letters'!F31+'NP EDDM Flats'!F31+'NP HD Plus Letters'!F31+'NP HD Plus Flats'!F31+'NP HD Letters'!F31+'NP HD Flats'!F31+'NP Parcels'!F31</f>
        <v>121393607.0652611</v>
      </c>
      <c r="G29" s="8">
        <f>SUM(C29:F29)</f>
        <v>508016672.89572275</v>
      </c>
      <c r="H29" s="72" t="s">
        <v>19</v>
      </c>
      <c r="I29" s="19"/>
      <c r="L29" s="19"/>
      <c r="O29" s="19"/>
      <c r="P29" s="45"/>
    </row>
    <row r="30" spans="3:15" ht="9.75">
      <c r="C30" s="9"/>
      <c r="D30" s="7"/>
      <c r="E30" s="7"/>
      <c r="F30" s="7"/>
      <c r="G30" s="7"/>
      <c r="H30" s="69"/>
      <c r="L30" s="19"/>
      <c r="O30" s="19"/>
    </row>
    <row r="31" spans="2:12" ht="9.75">
      <c r="B31" s="5" t="s">
        <v>25</v>
      </c>
      <c r="C31" s="9"/>
      <c r="D31" s="7"/>
      <c r="E31" s="7"/>
      <c r="F31" s="7"/>
      <c r="G31" s="7"/>
      <c r="H31" s="69"/>
      <c r="L31" s="45"/>
    </row>
    <row r="32" spans="1:9" ht="9.75">
      <c r="A32" s="20" t="s">
        <v>41</v>
      </c>
      <c r="B32" s="1" t="s">
        <v>45</v>
      </c>
      <c r="C32" s="10">
        <f>'Reg Letters'!C36+'Reg Flats'!C36+'Reg Carrier Route Letters'!C36+'Reg Carrier Route Flats'!C36+'Reg-Sat Letters'!C36+'Reg-Sat Flats'!C36+'Reg-EDDM Letters'!C36+'Reg-EDDM Flats'!C36+'Reg-HD Plus Letters'!C36+'Reg-HD Plus Flats'!C36+'Reg HD Letters'!C36+'Reg HD Flats'!C36+'Reg Parcels'!C36+'NP Letters'!C36+'NP Flats'!C36+'NP Carrier Route Letters '!C36+'NP Carrier Route Flats'!C36+'NP Sat Letters'!C36+'NP Sat Flats'!C36+'NP EDDM Letters'!C36+'NP EDDM Flats'!C36+'NP HD Plus Letters'!C36+'NP HD Plus Flats'!C36+'NP HD Letters'!C36+'NP HD Flats'!C36+'NP Parcels'!C36</f>
        <v>147156167.49460497</v>
      </c>
      <c r="D32" s="8">
        <f>'Reg Letters'!D36+'Reg Flats'!D36+'Reg Carrier Route Letters'!D36+'Reg Carrier Route Flats'!D36+'Reg-Sat Letters'!D36+'Reg-Sat Flats'!D36+'Reg-EDDM Letters'!D36+'Reg-EDDM Flats'!D36+'Reg-HD Plus Letters'!D36+'Reg-HD Plus Flats'!D36+'Reg HD Letters'!D36+'Reg HD Flats'!D36+'Reg Parcels'!D36+'NP Letters'!D36+'NP Flats'!D36+'NP Carrier Route Letters '!D36+'NP Carrier Route Flats'!D36+'NP Sat Letters'!D36+'NP Sat Flats'!D36+'NP EDDM Letters'!D36+'NP EDDM Flats'!D36+'NP HD Plus Letters'!D36+'NP HD Plus Flats'!D36+'NP HD Letters'!D36+'NP HD Flats'!D36+'NP Parcels'!D36</f>
        <v>110008421.53155391</v>
      </c>
      <c r="E32" s="8">
        <f>'Reg Letters'!E36+'Reg Flats'!E36+'Reg Carrier Route Letters'!E36+'Reg Carrier Route Flats'!E36+'Reg-Sat Letters'!E36+'Reg-Sat Flats'!E36+'Reg-EDDM Letters'!E36+'Reg-EDDM Flats'!E36+'Reg-HD Plus Letters'!E36+'Reg-HD Plus Flats'!E36+'Reg HD Letters'!E36+'Reg HD Flats'!E36+'Reg Parcels'!E36+'NP Letters'!E36+'NP Flats'!E36+'NP Carrier Route Letters '!E36+'NP Carrier Route Flats'!E36+'NP Sat Letters'!E36+'NP Sat Flats'!E36+'NP EDDM Letters'!E36+'NP EDDM Flats'!E36+'NP HD Plus Letters'!E36+'NP HD Plus Flats'!E36+'NP HD Letters'!E36+'NP HD Flats'!E36+'NP Parcels'!E36</f>
        <v>112920095.86802985</v>
      </c>
      <c r="F32" s="8">
        <f>'Reg Letters'!F36+'Reg Flats'!F36+'Reg Carrier Route Letters'!F36+'Reg Carrier Route Flats'!F36+'Reg-Sat Letters'!F36+'Reg-Sat Flats'!F36+'Reg-EDDM Letters'!F36+'Reg-EDDM Flats'!F36+'Reg-HD Plus Letters'!F36+'Reg-HD Plus Flats'!F36+'Reg HD Letters'!F36+'Reg HD Flats'!F36+'Reg Parcels'!F36+'NP Letters'!F36+'NP Flats'!F36+'NP Carrier Route Letters '!F36+'NP Carrier Route Flats'!F36+'NP Sat Letters'!F36+'NP Sat Flats'!F36+'NP EDDM Letters'!F36+'NP EDDM Flats'!F36+'NP HD Plus Letters'!F36+'NP HD Plus Flats'!F36+'NP HD Letters'!F36+'NP HD Flats'!F36+'NP Parcels'!F36</f>
        <v>115396388.05775906</v>
      </c>
      <c r="G32" s="8">
        <f>'Reg Letters'!G36+'Reg Flats'!G36+'Reg Carrier Route Letters'!G36+'Reg Carrier Route Flats'!G36+'Reg-Sat Letters'!G36+'Reg-Sat Flats'!G36+'Reg-EDDM Letters'!G36+'Reg-EDDM Flats'!G36+'Reg-HD Plus Letters'!G36+'Reg-HD Plus Flats'!G36+'Reg HD Letters'!G36+'Reg HD Flats'!G36+'Reg Parcels'!G36+'NP Letters'!G36+'NP Flats'!G36+'NP Carrier Route Letters '!G36+'NP Carrier Route Flats'!G36+'NP Sat Letters'!G36+'NP Sat Flats'!G36+'NP EDDM Letters'!G36+'NP EDDM Flats'!G36+'NP HD Plus Letters'!G36+'NP HD Plus Flats'!G36+'NP HD Letters'!G36+'NP HD Flats'!G36+'NP Parcels'!G36</f>
        <v>485481072.95194787</v>
      </c>
      <c r="H32" s="69"/>
      <c r="I32" s="122"/>
    </row>
    <row r="33" spans="1:9" ht="9.75">
      <c r="A33" s="20" t="s">
        <v>42</v>
      </c>
      <c r="B33" s="1" t="s">
        <v>47</v>
      </c>
      <c r="C33" s="10">
        <f>'Reg Letters'!C37+'Reg Flats'!C37+'Reg Carrier Route Letters'!C37+'Reg Carrier Route Flats'!C37+'Reg-Sat Letters'!C37+'Reg-Sat Flats'!C37+'Reg-EDDM Letters'!C37+'Reg-EDDM Flats'!C37+'Reg-HD Plus Letters'!C37+'Reg-HD Plus Flats'!C37+'Reg HD Letters'!C37+'Reg HD Flats'!C37+'Reg Parcels'!C37+'NP Letters'!C37+'NP Flats'!C37+'NP Carrier Route Letters '!C37+'NP Carrier Route Flats'!C37+'NP Sat Letters'!C37+'NP Sat Flats'!C37+'NP EDDM Letters'!C37+'NP EDDM Flats'!C37+'NP HD Plus Letters'!C37+'NP HD Plus Flats'!C37+'NP HD Letters'!C37+'NP HD Flats'!C37+'NP Parcels'!C37</f>
        <v>1923995.7587205556</v>
      </c>
      <c r="D33" s="8">
        <f>'Reg Letters'!D37+'Reg Flats'!D37+'Reg Carrier Route Letters'!D37+'Reg Carrier Route Flats'!D37+'Reg-Sat Letters'!D37+'Reg-Sat Flats'!D37+'Reg-EDDM Letters'!D37+'Reg-EDDM Flats'!D37+'Reg-HD Plus Letters'!D37+'Reg-HD Plus Flats'!D37+'Reg HD Letters'!D37+'Reg HD Flats'!D37+'Reg Parcels'!D37+'NP Letters'!D37+'NP Flats'!D37+'NP Carrier Route Letters '!D37+'NP Carrier Route Flats'!D37+'NP Sat Letters'!D37+'NP Sat Flats'!D37+'NP EDDM Letters'!D37+'NP EDDM Flats'!D37+'NP HD Plus Letters'!D37+'NP HD Plus Flats'!D37+'NP HD Letters'!D37+'NP HD Flats'!D37+'NP Parcels'!D37</f>
        <v>7256855.114853454</v>
      </c>
      <c r="E33" s="8">
        <f>'Reg Letters'!E37+'Reg Flats'!E37+'Reg Carrier Route Letters'!E37+'Reg Carrier Route Flats'!E37+'Reg-Sat Letters'!E37+'Reg-Sat Flats'!E37+'Reg-EDDM Letters'!E37+'Reg-EDDM Flats'!E37+'Reg-HD Plus Letters'!E37+'Reg-HD Plus Flats'!E37+'Reg HD Letters'!E37+'Reg HD Flats'!E37+'Reg Parcels'!E37+'NP Letters'!E37+'NP Flats'!E37+'NP Carrier Route Letters '!E37+'NP Carrier Route Flats'!E37+'NP Sat Letters'!E37+'NP Sat Flats'!E37+'NP EDDM Letters'!E37+'NP EDDM Flats'!E37+'NP HD Plus Letters'!E37+'NP HD Plus Flats'!E37+'NP HD Letters'!E37+'NP HD Flats'!E37+'NP Parcels'!E37</f>
        <v>7357530.062698906</v>
      </c>
      <c r="F33" s="8">
        <f>'Reg Letters'!F37+'Reg Flats'!F37+'Reg Carrier Route Letters'!F37+'Reg Carrier Route Flats'!F37+'Reg-Sat Letters'!F37+'Reg-Sat Flats'!F37+'Reg-EDDM Letters'!F37+'Reg-EDDM Flats'!F37+'Reg-HD Plus Letters'!F37+'Reg-HD Plus Flats'!F37+'Reg HD Letters'!F37+'Reg HD Flats'!F37+'Reg Parcels'!F37+'NP Letters'!F37+'NP Flats'!F37+'NP Carrier Route Letters '!F37+'NP Carrier Route Flats'!F37+'NP Sat Letters'!F37+'NP Sat Flats'!F37+'NP EDDM Letters'!F37+'NP EDDM Flats'!F37+'NP HD Plus Letters'!F37+'NP HD Plus Flats'!F37+'NP HD Letters'!F37+'NP HD Flats'!F37+'NP Parcels'!F37</f>
        <v>5997219.007502036</v>
      </c>
      <c r="G33" s="8">
        <f>'Reg Letters'!G37+'Reg Flats'!G37+'Reg Carrier Route Letters'!G37+'Reg Carrier Route Flats'!G37+'Reg-Sat Letters'!G37+'Reg-Sat Flats'!G37+'Reg-EDDM Letters'!G37+'Reg-EDDM Flats'!G37+'Reg-HD Plus Letters'!G37+'Reg-HD Plus Flats'!G37+'Reg HD Letters'!G37+'Reg HD Flats'!G37+'Reg Parcels'!G37+'NP Letters'!G37+'NP Flats'!G37+'NP Carrier Route Letters '!G37+'NP Carrier Route Flats'!G37+'NP Sat Letters'!G37+'NP Sat Flats'!G37+'NP EDDM Letters'!G37+'NP EDDM Flats'!G37+'NP HD Plus Letters'!G37+'NP HD Plus Flats'!G37+'NP HD Letters'!G37+'NP HD Flats'!G37+'NP Parcels'!G37</f>
        <v>22535599.9437749</v>
      </c>
      <c r="H33" s="68" t="s">
        <v>13</v>
      </c>
      <c r="I33" s="66"/>
    </row>
    <row r="34" spans="3:8" ht="9.75">
      <c r="C34" s="9"/>
      <c r="D34" s="7"/>
      <c r="E34" s="7"/>
      <c r="F34" s="7"/>
      <c r="G34" s="11"/>
      <c r="H34" s="38"/>
    </row>
    <row r="35" ht="9.75">
      <c r="G35" s="66"/>
    </row>
    <row r="36" spans="3:7" ht="9.75">
      <c r="C36" s="19"/>
      <c r="D36" s="19"/>
      <c r="E36" s="19"/>
      <c r="F36" s="19"/>
      <c r="G36" s="19"/>
    </row>
    <row r="37" spans="2:3" ht="9.75">
      <c r="B37" s="52"/>
      <c r="C37" s="19"/>
    </row>
    <row r="38" ht="9.75">
      <c r="B38" s="19"/>
    </row>
    <row r="40" ht="9.75">
      <c r="B40" s="52"/>
    </row>
  </sheetData>
  <sheetProtection/>
  <printOptions/>
  <pageMargins left="0.75" right="0.75" top="1" bottom="1" header="0.5" footer="0.5"/>
  <pageSetup horizontalDpi="200" verticalDpi="200" orientation="landscape" scale="70" r:id="rId1"/>
  <headerFooter alignWithMargins="0">
    <oddFooter>&amp;LDate Printed: &amp;D&amp;C&amp;A&amp;R&amp;P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76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NP Carrier Route Flats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NP Carrier Route Flats FY23</v>
      </c>
      <c r="C12" s="63">
        <f>VLOOKUP($B$4,'RPW Vol and Rev'!$B$8:$H$43,MATCH('Reg Letters'!C$8,'RPW Vol and Rev'!$B$8:$H$8,FALSE),FALSE)</f>
        <v>237453806</v>
      </c>
      <c r="D12" s="21">
        <f>VLOOKUP($B$4,'RPW Vol and Rev'!$K$8:$P$43,MATCH('Reg Letters'!D$8,'RPW Vol and Rev'!$K$8:$P$8,FALSE),FALSE)</f>
        <v>50927938</v>
      </c>
      <c r="E12" s="22">
        <f>VLOOKUP($B$4,'RPW Vol and Rev'!$K$8:$P$43,MATCH('Reg Letters'!E$8,'RPW Vol and Rev'!$K$8:$P$8,FALSE),FALSE)</f>
        <v>63076875.554323554</v>
      </c>
      <c r="F12" s="22">
        <f>VLOOKUP($B$4,'RPW Vol and Rev'!$K$8:$P$43,MATCH('Reg Letters'!F$8,'RPW Vol and Rev'!$K$8:$P$8,FALSE),FALSE)</f>
        <v>113919466.5096246</v>
      </c>
      <c r="G12" s="13">
        <f>SUM(C12:F12)</f>
        <v>465378086.06394815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NP Carrier Route Flats FY23</v>
      </c>
      <c r="C13" s="12">
        <f>C12*Inputs!$C$14</f>
        <v>199142890.0908972</v>
      </c>
      <c r="D13" s="13">
        <f>D12*Inputs!$C$14</f>
        <v>42711198.99291076</v>
      </c>
      <c r="E13" s="13">
        <f>E12*Inputs!$C$14</f>
        <v>52900020.88150086</v>
      </c>
      <c r="F13" s="13">
        <f>F12*Inputs!$C$14</f>
        <v>95539642.76462182</v>
      </c>
      <c r="G13" s="13">
        <f>SUM(C13:F13)</f>
        <v>390293752.72993064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NP Carrier Route Flats FY23</v>
      </c>
      <c r="C14" s="12">
        <f>C13*Inputs!$C$15</f>
        <v>99571445.0454486</v>
      </c>
      <c r="D14" s="13">
        <f>D13*Inputs!$C$15</f>
        <v>21355599.49645538</v>
      </c>
      <c r="E14" s="13">
        <f>E13*Inputs!$C$15</f>
        <v>26450010.44075043</v>
      </c>
      <c r="F14" s="13">
        <f>F13*Inputs!$C$15</f>
        <v>47769821.38231091</v>
      </c>
      <c r="G14" s="13">
        <f>SUM(C14:F14)</f>
        <v>195146876.36496532</v>
      </c>
    </row>
    <row r="15" spans="1:7" ht="9.75">
      <c r="A15" s="20">
        <f>A14+1</f>
        <v>4</v>
      </c>
      <c r="B15" s="1" t="s">
        <v>128</v>
      </c>
      <c r="C15" s="12">
        <f>C14*Inputs!$C$8</f>
        <v>99571445.0454486</v>
      </c>
      <c r="D15" s="13">
        <f>D14*Inputs!$C$8</f>
        <v>21355599.49645538</v>
      </c>
      <c r="E15" s="13">
        <f>E14*Inputs!$C$8</f>
        <v>26450010.44075043</v>
      </c>
      <c r="F15" s="13">
        <f>F14*Inputs!$C$8</f>
        <v>47769821.38231091</v>
      </c>
      <c r="G15" s="13">
        <f>SUM(C15:F15)</f>
        <v>195146876.36496532</v>
      </c>
    </row>
    <row r="16" spans="1:7" ht="9.75">
      <c r="A16" s="20">
        <f>A15+1</f>
        <v>5</v>
      </c>
      <c r="B16" s="1" t="s">
        <v>62</v>
      </c>
      <c r="C16" s="12">
        <f>C15+C23</f>
        <v>110723446.89053884</v>
      </c>
      <c r="D16" s="13">
        <f>D15+D23</f>
        <v>23747426.640058383</v>
      </c>
      <c r="E16" s="13">
        <f>E15+E23</f>
        <v>29412411.610114478</v>
      </c>
      <c r="F16" s="13">
        <f>F15+F23</f>
        <v>53120041.37712973</v>
      </c>
      <c r="G16" s="13">
        <f>SUM(C16:F16)</f>
        <v>217003326.51784143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39828578.01817944</v>
      </c>
      <c r="D19" s="13">
        <f>D14*Inputs!$C$16</f>
        <v>8542239.798582152</v>
      </c>
      <c r="E19" s="13">
        <f>E14*Inputs!$C$16</f>
        <v>10580004.176300174</v>
      </c>
      <c r="F19" s="13">
        <f>F14*Inputs!$C$16</f>
        <v>19107928.552924365</v>
      </c>
      <c r="G19" s="13">
        <f>SUM(C19:F19)</f>
        <v>78058750.54598613</v>
      </c>
    </row>
    <row r="20" spans="1:7" ht="9.75">
      <c r="A20" s="20">
        <f>A19+1</f>
        <v>7</v>
      </c>
      <c r="B20" s="1" t="s">
        <v>5</v>
      </c>
      <c r="C20" s="12">
        <f>C19*Inputs!$C$8</f>
        <v>39828578.01817944</v>
      </c>
      <c r="D20" s="13">
        <f>D19*Inputs!$C$8</f>
        <v>8542239.798582152</v>
      </c>
      <c r="E20" s="13">
        <f>E19*Inputs!$C$8</f>
        <v>10580004.176300174</v>
      </c>
      <c r="F20" s="13">
        <f>F19*Inputs!$C$8</f>
        <v>19107928.552924365</v>
      </c>
      <c r="G20" s="13">
        <f>SUM(C20:F20)</f>
        <v>78058750.54598613</v>
      </c>
    </row>
    <row r="21" spans="1:7" ht="9.75">
      <c r="A21" s="20">
        <f>A20+1</f>
        <v>8</v>
      </c>
      <c r="B21" s="1" t="s">
        <v>62</v>
      </c>
      <c r="C21" s="12">
        <f>C20*(1+Inputs!$C$18)</f>
        <v>50980579.86326969</v>
      </c>
      <c r="D21" s="12">
        <f>D20*(1+Inputs!$C$18)</f>
        <v>10934066.942185154</v>
      </c>
      <c r="E21" s="12">
        <f>E20*(1+Inputs!$C$18)</f>
        <v>13542405.345664222</v>
      </c>
      <c r="F21" s="12">
        <f>F20*(1+Inputs!$C$18)</f>
        <v>24458148.547743186</v>
      </c>
      <c r="G21" s="13">
        <f>SUM(C21:F21)</f>
        <v>99915200.69886225</v>
      </c>
    </row>
    <row r="22" spans="1:7" ht="9.75">
      <c r="A22" s="20">
        <f>A21+1</f>
        <v>9</v>
      </c>
      <c r="B22" s="1" t="s">
        <v>12</v>
      </c>
      <c r="C22" s="12">
        <f>C21-C19</f>
        <v>11152001.845090248</v>
      </c>
      <c r="D22" s="13">
        <f>D21-D19</f>
        <v>2391827.1436030027</v>
      </c>
      <c r="E22" s="13">
        <f>E21-E19</f>
        <v>2962401.169364048</v>
      </c>
      <c r="F22" s="13">
        <f>F21-F19</f>
        <v>5350219.994818822</v>
      </c>
      <c r="G22" s="13">
        <f>SUM(C22:F22)</f>
        <v>21856450.15287612</v>
      </c>
    </row>
    <row r="23" spans="1:7" ht="9.75">
      <c r="A23" s="20">
        <f>A22+1</f>
        <v>10</v>
      </c>
      <c r="B23" s="47" t="s">
        <v>8</v>
      </c>
      <c r="C23" s="50">
        <f>C21-C20</f>
        <v>11152001.845090248</v>
      </c>
      <c r="D23" s="51">
        <f>D21-D20</f>
        <v>2391827.1436030027</v>
      </c>
      <c r="E23" s="51">
        <f>E21-E20</f>
        <v>2962401.169364048</v>
      </c>
      <c r="F23" s="51">
        <f>F21-F20</f>
        <v>5350219.994818822</v>
      </c>
      <c r="G23" s="51">
        <f>SUM(C23:F23)</f>
        <v>21856450.15287612</v>
      </c>
    </row>
    <row r="24" spans="3:7" ht="9.75">
      <c r="C24" s="37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12747320.96209344</v>
      </c>
      <c r="D28" s="8">
        <f>D21*(D29/D23)</f>
        <v>2733983.432649612</v>
      </c>
      <c r="E28" s="8">
        <f>E21*(E29/E23)</f>
        <v>3386179.3648276497</v>
      </c>
      <c r="F28" s="8">
        <f>F21*(F29/F23)</f>
        <v>6115581.080341324</v>
      </c>
      <c r="G28" s="13">
        <f>SUM(C28:F28)</f>
        <v>24983064.839912027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2788476.460457941</v>
      </c>
      <c r="D29" s="8">
        <f>VLOOKUP($B$4,Inputs!$B$55:$C$82,2,FALSE)*D23</f>
        <v>598058.8758921027</v>
      </c>
      <c r="E29" s="8">
        <f>VLOOKUP($B$4,Inputs!$B$55:$C$82,2,FALSE)*E23</f>
        <v>740726.7360560483</v>
      </c>
      <c r="F29" s="8">
        <f>VLOOKUP($B$4,Inputs!$B$55:$C$82,2,FALSE)*F23</f>
        <v>1337783.3613246644</v>
      </c>
      <c r="G29" s="8">
        <f>SUM(C29:F29)</f>
        <v>5465045.433730757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836542.9381373823</v>
      </c>
      <c r="D30" s="49">
        <f>VLOOKUP($B$4,Inputs!$B$21:$C$49,2,FALSE)*D29</f>
        <v>179417.6627676308</v>
      </c>
      <c r="E30" s="49">
        <f>VLOOKUP($B$4,Inputs!$B$21:$C$49,2,FALSE)*E29</f>
        <v>222218.02081681447</v>
      </c>
      <c r="F30" s="49">
        <f>VLOOKUP($B$4,Inputs!$B$21:$C$49,2,FALSE)*F29</f>
        <v>401335.00839739933</v>
      </c>
      <c r="G30" s="49">
        <f>SUM(C30:F30)</f>
        <v>1639513.6301192269</v>
      </c>
    </row>
    <row r="31" spans="1:7" ht="9.75">
      <c r="A31" s="20">
        <f>A30+1</f>
        <v>14</v>
      </c>
      <c r="B31" s="1" t="s">
        <v>43</v>
      </c>
      <c r="C31" s="10">
        <f>C29-C30</f>
        <v>1951933.5223205588</v>
      </c>
      <c r="D31" s="8">
        <f>D29-D30</f>
        <v>418641.21312447195</v>
      </c>
      <c r="E31" s="8">
        <f>E29-E30</f>
        <v>518508.7152392338</v>
      </c>
      <c r="F31" s="8">
        <f>F29-F30</f>
        <v>936448.3529272651</v>
      </c>
      <c r="G31" s="8">
        <f>SUM(C31:F31)</f>
        <v>3825531.80361153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3647216.8963630707</v>
      </c>
      <c r="D36" s="8">
        <f>D23*VLOOKUP($B$4,Inputs!$B$86:$C$113,2,FALSE)</f>
        <v>782237.3500744428</v>
      </c>
      <c r="E36" s="8">
        <f>E23*VLOOKUP($B$4,Inputs!$B$86:$C$113,2,FALSE)</f>
        <v>968841.2671368993</v>
      </c>
      <c r="F36" s="8">
        <f>F23*VLOOKUP($B$4,Inputs!$B$86:$C$113,2,FALSE)</f>
        <v>1749767.7130454988</v>
      </c>
      <c r="G36" s="8">
        <f>G23*VLOOKUP($B$4,Inputs!$B$86:$C$113,2,FALSE)</f>
        <v>7148063.226619911</v>
      </c>
    </row>
    <row r="37" spans="1:7" ht="9.75">
      <c r="A37" s="20">
        <f>A36+1</f>
        <v>16</v>
      </c>
      <c r="B37" s="1" t="s">
        <v>10</v>
      </c>
      <c r="C37" s="10">
        <f>C31-C36</f>
        <v>-1695283.374042512</v>
      </c>
      <c r="D37" s="10">
        <f>D31-D36</f>
        <v>-363596.13694997085</v>
      </c>
      <c r="E37" s="10">
        <f>E31-E36</f>
        <v>-450332.5518976655</v>
      </c>
      <c r="F37" s="10">
        <f>F31-F36</f>
        <v>-813319.3601182337</v>
      </c>
      <c r="G37" s="8">
        <f>G31-G36</f>
        <v>-3322531.4230083814</v>
      </c>
    </row>
    <row r="38" spans="3:7" ht="9.75">
      <c r="C38" s="9"/>
      <c r="D38" s="7"/>
      <c r="E38" s="7"/>
      <c r="F38" s="7"/>
      <c r="G38" s="7"/>
    </row>
    <row r="40" ht="9.75">
      <c r="B40" s="5" t="s">
        <v>168</v>
      </c>
    </row>
    <row r="41" ht="9.75">
      <c r="B41" s="1" t="s">
        <v>173</v>
      </c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78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NP Saturation Letters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NP Saturation Letters FY23</v>
      </c>
      <c r="C12" s="63">
        <f>VLOOKUP($B$4,'RPW Vol and Rev'!$B$8:$H$43,MATCH('Reg Letters'!C$8,'RPW Vol and Rev'!$B$8:$H$8,FALSE),FALSE)</f>
        <v>60781890</v>
      </c>
      <c r="D12" s="21">
        <f>VLOOKUP($B$4,'RPW Vol and Rev'!$K$8:$P$43,MATCH('Reg Letters'!D$8,'RPW Vol and Rev'!$K$8:$P$8,FALSE),FALSE)</f>
        <v>56728869</v>
      </c>
      <c r="E12" s="22">
        <f>VLOOKUP($B$4,'RPW Vol and Rev'!$K$8:$P$43,MATCH('Reg Letters'!E$8,'RPW Vol and Rev'!$K$8:$P$8,FALSE),FALSE)</f>
        <v>50124214.34978896</v>
      </c>
      <c r="F12" s="22">
        <f>VLOOKUP($B$4,'RPW Vol and Rev'!$K$8:$P$43,MATCH('Reg Letters'!F$8,'RPW Vol and Rev'!$K$8:$P$8,FALSE),FALSE)</f>
        <v>55553449.22213866</v>
      </c>
      <c r="G12" s="13">
        <f>SUM(C12:F12)</f>
        <v>223188422.5719276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NP Saturation Letters FY23</v>
      </c>
      <c r="C13" s="12">
        <f>C12*Inputs!$C$14</f>
        <v>50975309.445185326</v>
      </c>
      <c r="D13" s="13">
        <f>D12*Inputs!$C$14</f>
        <v>47576204.881920926</v>
      </c>
      <c r="E13" s="13">
        <f>E12*Inputs!$C$14</f>
        <v>42037148.51870007</v>
      </c>
      <c r="F13" s="13">
        <f>F12*Inputs!$C$14</f>
        <v>46590427.91933433</v>
      </c>
      <c r="G13" s="13">
        <f>SUM(C13:F13)</f>
        <v>187179090.76514065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NP Saturation Letters FY23</v>
      </c>
      <c r="C14" s="12">
        <f>C13*Inputs!$C$15</f>
        <v>25487654.722592663</v>
      </c>
      <c r="D14" s="13">
        <f>D13*Inputs!$C$15</f>
        <v>23788102.440960463</v>
      </c>
      <c r="E14" s="13">
        <f>E13*Inputs!$C$15</f>
        <v>21018574.259350035</v>
      </c>
      <c r="F14" s="13">
        <f>F13*Inputs!$C$15</f>
        <v>23295213.959667165</v>
      </c>
      <c r="G14" s="13">
        <f>SUM(C14:F14)</f>
        <v>93589545.38257033</v>
      </c>
    </row>
    <row r="15" spans="1:7" ht="9.75">
      <c r="A15" s="20">
        <f>A14+1</f>
        <v>4</v>
      </c>
      <c r="B15" s="1" t="s">
        <v>128</v>
      </c>
      <c r="C15" s="12">
        <f>C14*Inputs!$C$8</f>
        <v>25487654.722592663</v>
      </c>
      <c r="D15" s="13">
        <f>D14*Inputs!$C$8</f>
        <v>23788102.440960463</v>
      </c>
      <c r="E15" s="13">
        <f>E14*Inputs!$C$8</f>
        <v>21018574.259350035</v>
      </c>
      <c r="F15" s="13">
        <f>F14*Inputs!$C$8</f>
        <v>23295213.959667165</v>
      </c>
      <c r="G15" s="13">
        <f>SUM(C15:F15)</f>
        <v>93589545.38257033</v>
      </c>
    </row>
    <row r="16" spans="1:7" ht="9.75">
      <c r="A16" s="20">
        <f>A15+1</f>
        <v>5</v>
      </c>
      <c r="B16" s="1" t="s">
        <v>62</v>
      </c>
      <c r="C16" s="12">
        <f>C15+C23</f>
        <v>28342272.05152304</v>
      </c>
      <c r="D16" s="13">
        <f>D15+D23</f>
        <v>26452369.914348036</v>
      </c>
      <c r="E16" s="13">
        <f>E15+E23</f>
        <v>23372654.57639724</v>
      </c>
      <c r="F16" s="13">
        <f>F15+F23</f>
        <v>25904277.923149887</v>
      </c>
      <c r="G16" s="13">
        <f>SUM(C16:F16)</f>
        <v>104071574.4654182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10195061.889037065</v>
      </c>
      <c r="D19" s="13">
        <f>D14*Inputs!$C$16</f>
        <v>9515240.976384185</v>
      </c>
      <c r="E19" s="13">
        <f>E14*Inputs!$C$16</f>
        <v>8407429.703740014</v>
      </c>
      <c r="F19" s="13">
        <f>F14*Inputs!$C$16</f>
        <v>9318085.583866866</v>
      </c>
      <c r="G19" s="13">
        <f>SUM(C19:F19)</f>
        <v>37435818.15302813</v>
      </c>
    </row>
    <row r="20" spans="1:7" ht="9.75">
      <c r="A20" s="20">
        <f>A19+1</f>
        <v>7</v>
      </c>
      <c r="B20" s="1" t="s">
        <v>5</v>
      </c>
      <c r="C20" s="12">
        <f>C19*Inputs!$C$8</f>
        <v>10195061.889037065</v>
      </c>
      <c r="D20" s="13">
        <f>D19*Inputs!$C$8</f>
        <v>9515240.976384185</v>
      </c>
      <c r="E20" s="13">
        <f>E19*Inputs!$C$8</f>
        <v>8407429.703740014</v>
      </c>
      <c r="F20" s="13">
        <f>F19*Inputs!$C$8</f>
        <v>9318085.583866866</v>
      </c>
      <c r="G20" s="13">
        <f>SUM(C20:F20)</f>
        <v>37435818.15302813</v>
      </c>
    </row>
    <row r="21" spans="1:7" ht="9.75">
      <c r="A21" s="20">
        <f>A20+1</f>
        <v>8</v>
      </c>
      <c r="B21" s="1" t="s">
        <v>62</v>
      </c>
      <c r="C21" s="12">
        <f>C20*(1+Inputs!$C$18)</f>
        <v>13049679.217967443</v>
      </c>
      <c r="D21" s="12">
        <f>D20*(1+Inputs!$C$18)</f>
        <v>12179508.449771758</v>
      </c>
      <c r="E21" s="12">
        <f>E20*(1+Inputs!$C$18)</f>
        <v>10761510.020787219</v>
      </c>
      <c r="F21" s="12">
        <f>F20*(1+Inputs!$C$18)</f>
        <v>11927149.547349589</v>
      </c>
      <c r="G21" s="13">
        <f>SUM(C21:F21)</f>
        <v>47917847.23587601</v>
      </c>
    </row>
    <row r="22" spans="1:7" ht="9.75">
      <c r="A22" s="20">
        <f>A21+1</f>
        <v>9</v>
      </c>
      <c r="B22" s="1" t="s">
        <v>12</v>
      </c>
      <c r="C22" s="12">
        <f>C21-C19</f>
        <v>2854617.328930378</v>
      </c>
      <c r="D22" s="13">
        <f>D21-D19</f>
        <v>2664267.473387573</v>
      </c>
      <c r="E22" s="13">
        <f>E21-E19</f>
        <v>2354080.317047205</v>
      </c>
      <c r="F22" s="13">
        <f>F21-F19</f>
        <v>2609063.9634827226</v>
      </c>
      <c r="G22" s="13">
        <f>SUM(C22:F22)</f>
        <v>10482029.082847878</v>
      </c>
    </row>
    <row r="23" spans="1:7" ht="9.75">
      <c r="A23" s="20">
        <f>A22+1</f>
        <v>10</v>
      </c>
      <c r="B23" s="47" t="s">
        <v>8</v>
      </c>
      <c r="C23" s="50">
        <f>C21-C20</f>
        <v>2854617.328930378</v>
      </c>
      <c r="D23" s="51">
        <f>D21-D20</f>
        <v>2664267.473387573</v>
      </c>
      <c r="E23" s="51">
        <f>E21-E20</f>
        <v>2354080.317047205</v>
      </c>
      <c r="F23" s="51">
        <f>F21-F20</f>
        <v>2609063.9634827226</v>
      </c>
      <c r="G23" s="51">
        <f>SUM(C23:F23)</f>
        <v>10482029.082847878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1315175.457664906</v>
      </c>
      <c r="D28" s="8">
        <f>D21*(D29/D23)</f>
        <v>1227477.7281503994</v>
      </c>
      <c r="E28" s="8">
        <f>E21*(E29/E23)</f>
        <v>1084568.7185373397</v>
      </c>
      <c r="F28" s="8">
        <f>F21*(F29/F23)</f>
        <v>1202044.441289837</v>
      </c>
      <c r="G28" s="13">
        <f>SUM(C28:F28)</f>
        <v>4829266.345642483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287694.63136419817</v>
      </c>
      <c r="D29" s="8">
        <f>VLOOKUP($B$4,Inputs!$B$55:$C$82,2,FALSE)*D23</f>
        <v>268510.7530329</v>
      </c>
      <c r="E29" s="8">
        <f>VLOOKUP($B$4,Inputs!$B$55:$C$82,2,FALSE)*E23</f>
        <v>237249.4071800431</v>
      </c>
      <c r="F29" s="8">
        <f>VLOOKUP($B$4,Inputs!$B$55:$C$82,2,FALSE)*F23</f>
        <v>262947.22153215186</v>
      </c>
      <c r="G29" s="8">
        <f>SUM(C29:F29)</f>
        <v>1056402.013109293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86308.38940925944</v>
      </c>
      <c r="D30" s="49">
        <f>VLOOKUP($B$4,Inputs!$B$21:$C$49,2,FALSE)*D29</f>
        <v>80553.22590986999</v>
      </c>
      <c r="E30" s="49">
        <f>VLOOKUP($B$4,Inputs!$B$21:$C$49,2,FALSE)*E29</f>
        <v>71174.82215401293</v>
      </c>
      <c r="F30" s="49">
        <f>VLOOKUP($B$4,Inputs!$B$21:$C$49,2,FALSE)*F29</f>
        <v>78884.16645964555</v>
      </c>
      <c r="G30" s="49">
        <f>SUM(C30:F30)</f>
        <v>316920.6039327879</v>
      </c>
    </row>
    <row r="31" spans="1:7" ht="9.75">
      <c r="A31" s="20">
        <f>A30+1</f>
        <v>14</v>
      </c>
      <c r="B31" s="1" t="s">
        <v>43</v>
      </c>
      <c r="C31" s="10">
        <f>C29-C30</f>
        <v>201386.24195493874</v>
      </c>
      <c r="D31" s="8">
        <f>D29-D30</f>
        <v>187957.52712302998</v>
      </c>
      <c r="E31" s="8">
        <f>E29-E30</f>
        <v>166074.5850260302</v>
      </c>
      <c r="F31" s="8">
        <f>F29-F30</f>
        <v>184063.0550725063</v>
      </c>
      <c r="G31" s="8">
        <f>SUM(C31:F31)</f>
        <v>739481.4091765053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287497.6217445969</v>
      </c>
      <c r="D36" s="8">
        <f>D23*VLOOKUP($B$4,Inputs!$B$86:$C$113,2,FALSE)</f>
        <v>268326.88028886233</v>
      </c>
      <c r="E36" s="8">
        <f>E23*VLOOKUP($B$4,Inputs!$B$86:$C$113,2,FALSE)</f>
        <v>237086.9418075142</v>
      </c>
      <c r="F36" s="8">
        <f>F23*VLOOKUP($B$4,Inputs!$B$86:$C$113,2,FALSE)</f>
        <v>262767.15862363105</v>
      </c>
      <c r="G36" s="8">
        <f>G23*VLOOKUP($B$4,Inputs!$B$86:$C$113,2,FALSE)</f>
        <v>1055678.6024646044</v>
      </c>
    </row>
    <row r="37" spans="1:7" ht="9.75">
      <c r="A37" s="20">
        <f>A36+1</f>
        <v>16</v>
      </c>
      <c r="B37" s="1" t="s">
        <v>10</v>
      </c>
      <c r="C37" s="10">
        <f>C31-C36</f>
        <v>-86111.37978965818</v>
      </c>
      <c r="D37" s="10">
        <f>D31-D36</f>
        <v>-80369.35316583235</v>
      </c>
      <c r="E37" s="10">
        <f>E31-E36</f>
        <v>-71012.356781484</v>
      </c>
      <c r="F37" s="10">
        <f>F31-F36</f>
        <v>-78704.10355112475</v>
      </c>
      <c r="G37" s="8">
        <f>G31-G36</f>
        <v>-316197.19328809914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79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NP Saturation Flats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NP Saturation Flats FY23</v>
      </c>
      <c r="C12" s="63">
        <f>VLOOKUP($B$4,'RPW Vol and Rev'!$B$8:$H$43,MATCH('Reg Letters'!C$8,'RPW Vol and Rev'!$B$8:$H$8,FALSE),FALSE)</f>
        <v>65997629</v>
      </c>
      <c r="D12" s="21">
        <f>VLOOKUP($B$4,'RPW Vol and Rev'!$K$8:$P$43,MATCH('Reg Letters'!D$8,'RPW Vol and Rev'!$K$8:$P$8,FALSE),FALSE)</f>
        <v>54330156</v>
      </c>
      <c r="E12" s="22">
        <f>VLOOKUP($B$4,'RPW Vol and Rev'!$K$8:$P$43,MATCH('Reg Letters'!E$8,'RPW Vol and Rev'!$K$8:$P$8,FALSE),FALSE)</f>
        <v>54843263.580816075</v>
      </c>
      <c r="F12" s="22">
        <f>VLOOKUP($B$4,'RPW Vol and Rev'!$K$8:$P$43,MATCH('Reg Letters'!F$8,'RPW Vol and Rev'!$K$8:$P$8,FALSE),FALSE)</f>
        <v>54208952.85281457</v>
      </c>
      <c r="G12" s="13">
        <f>SUM(C12:F12)</f>
        <v>229380001.43363065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NP Saturation Flats FY23</v>
      </c>
      <c r="C13" s="12">
        <f>C12*Inputs!$C$14</f>
        <v>55349538.50437255</v>
      </c>
      <c r="D13" s="13">
        <f>D12*Inputs!$C$14</f>
        <v>45564501.43793146</v>
      </c>
      <c r="E13" s="13">
        <f>E12*Inputs!$C$14</f>
        <v>45994823.98484091</v>
      </c>
      <c r="F13" s="13">
        <f>F12*Inputs!$C$14</f>
        <v>45462853.26717686</v>
      </c>
      <c r="G13" s="13">
        <f>SUM(C13:F13)</f>
        <v>192371717.19432178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NP Saturation Flats FY23</v>
      </c>
      <c r="C14" s="12">
        <f>C13*Inputs!$C$15</f>
        <v>27674769.252186276</v>
      </c>
      <c r="D14" s="13">
        <f>D13*Inputs!$C$15</f>
        <v>22782250.71896573</v>
      </c>
      <c r="E14" s="13">
        <f>E13*Inputs!$C$15</f>
        <v>22997411.992420454</v>
      </c>
      <c r="F14" s="13">
        <f>F13*Inputs!$C$15</f>
        <v>22731426.63358843</v>
      </c>
      <c r="G14" s="13">
        <f>SUM(C14:F14)</f>
        <v>96185858.59716089</v>
      </c>
    </row>
    <row r="15" spans="1:7" ht="9.75">
      <c r="A15" s="20">
        <f>A14+1</f>
        <v>4</v>
      </c>
      <c r="B15" s="1" t="s">
        <v>128</v>
      </c>
      <c r="C15" s="12">
        <f>C14*Inputs!$C$8</f>
        <v>27674769.252186276</v>
      </c>
      <c r="D15" s="13">
        <f>D14*Inputs!$C$8</f>
        <v>22782250.71896573</v>
      </c>
      <c r="E15" s="13">
        <f>E14*Inputs!$C$8</f>
        <v>22997411.992420454</v>
      </c>
      <c r="F15" s="13">
        <f>F14*Inputs!$C$8</f>
        <v>22731426.63358843</v>
      </c>
      <c r="G15" s="13">
        <f>SUM(C15:F15)</f>
        <v>96185858.59716089</v>
      </c>
    </row>
    <row r="16" spans="1:7" ht="9.75">
      <c r="A16" s="20">
        <f>A15+1</f>
        <v>5</v>
      </c>
      <c r="B16" s="1" t="s">
        <v>62</v>
      </c>
      <c r="C16" s="12">
        <f>C15+C23</f>
        <v>30774343.40843114</v>
      </c>
      <c r="D16" s="13">
        <f>D15+D23</f>
        <v>25333862.799489893</v>
      </c>
      <c r="E16" s="13">
        <f>E15+E23</f>
        <v>25573122.135571547</v>
      </c>
      <c r="F16" s="13">
        <f>F15+F23</f>
        <v>25277346.416550335</v>
      </c>
      <c r="G16" s="13">
        <f>SUM(C16:F16)</f>
        <v>106958674.7600429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11069907.700874511</v>
      </c>
      <c r="D19" s="13">
        <f>D14*Inputs!$C$16</f>
        <v>9112900.287586292</v>
      </c>
      <c r="E19" s="13">
        <f>E14*Inputs!$C$16</f>
        <v>9198964.796968183</v>
      </c>
      <c r="F19" s="13">
        <f>F14*Inputs!$C$16</f>
        <v>9092570.653435372</v>
      </c>
      <c r="G19" s="13">
        <f>SUM(C19:F19)</f>
        <v>38474343.43886436</v>
      </c>
    </row>
    <row r="20" spans="1:7" ht="9.75">
      <c r="A20" s="20">
        <f>A19+1</f>
        <v>7</v>
      </c>
      <c r="B20" s="1" t="s">
        <v>5</v>
      </c>
      <c r="C20" s="12">
        <f>C19*Inputs!$C$8</f>
        <v>11069907.700874511</v>
      </c>
      <c r="D20" s="13">
        <f>D19*Inputs!$C$8</f>
        <v>9112900.287586292</v>
      </c>
      <c r="E20" s="13">
        <f>E19*Inputs!$C$8</f>
        <v>9198964.796968183</v>
      </c>
      <c r="F20" s="13">
        <f>F19*Inputs!$C$8</f>
        <v>9092570.653435372</v>
      </c>
      <c r="G20" s="13">
        <f>SUM(C20:F20)</f>
        <v>38474343.43886436</v>
      </c>
    </row>
    <row r="21" spans="1:7" ht="9.75">
      <c r="A21" s="20">
        <f>A20+1</f>
        <v>8</v>
      </c>
      <c r="B21" s="1" t="s">
        <v>62</v>
      </c>
      <c r="C21" s="12">
        <f>C20*(1+Inputs!$C$18)</f>
        <v>14169481.857119374</v>
      </c>
      <c r="D21" s="12">
        <f>D20*(1+Inputs!$C$18)</f>
        <v>11664512.368110454</v>
      </c>
      <c r="E21" s="12">
        <f>E20*(1+Inputs!$C$18)</f>
        <v>11774674.940119274</v>
      </c>
      <c r="F21" s="12">
        <f>F20*(1+Inputs!$C$18)</f>
        <v>11638490.436397277</v>
      </c>
      <c r="G21" s="13">
        <f>SUM(C21:F21)</f>
        <v>49247159.60174638</v>
      </c>
    </row>
    <row r="22" spans="1:7" ht="9.75">
      <c r="A22" s="20">
        <f>A21+1</f>
        <v>9</v>
      </c>
      <c r="B22" s="1" t="s">
        <v>12</v>
      </c>
      <c r="C22" s="12">
        <f>C21-C19</f>
        <v>3099574.156244863</v>
      </c>
      <c r="D22" s="13">
        <f>D21-D19</f>
        <v>2551612.0805241615</v>
      </c>
      <c r="E22" s="13">
        <f>E21-E19</f>
        <v>2575710.1431510914</v>
      </c>
      <c r="F22" s="13">
        <f>F21-F19</f>
        <v>2545919.782961905</v>
      </c>
      <c r="G22" s="13">
        <f>SUM(C22:F22)</f>
        <v>10772816.16288202</v>
      </c>
    </row>
    <row r="23" spans="1:7" ht="9.75">
      <c r="A23" s="20">
        <f>A22+1</f>
        <v>10</v>
      </c>
      <c r="B23" s="47" t="s">
        <v>8</v>
      </c>
      <c r="C23" s="50">
        <f>C21-C20</f>
        <v>3099574.156244863</v>
      </c>
      <c r="D23" s="51">
        <f>D21-D20</f>
        <v>2551612.0805241615</v>
      </c>
      <c r="E23" s="51">
        <f>E21-E20</f>
        <v>2575710.1431510914</v>
      </c>
      <c r="F23" s="51">
        <f>F21-F20</f>
        <v>2545919.782961905</v>
      </c>
      <c r="G23" s="51">
        <f>SUM(C23:F23)</f>
        <v>10772816.16288202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1584088.5370929532</v>
      </c>
      <c r="D28" s="8">
        <f>D21*(D29/D23)</f>
        <v>1304043.4731082828</v>
      </c>
      <c r="E28" s="8">
        <f>E21*(E29/E23)</f>
        <v>1316359.1857995107</v>
      </c>
      <c r="F28" s="8">
        <f>F21*(F29/F23)</f>
        <v>1301134.3304765676</v>
      </c>
      <c r="G28" s="13">
        <f>SUM(C28:F28)</f>
        <v>5505625.5264773145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346519.3674890835</v>
      </c>
      <c r="D29" s="8">
        <f>VLOOKUP($B$4,Inputs!$B$55:$C$82,2,FALSE)*D23</f>
        <v>285259.5097424368</v>
      </c>
      <c r="E29" s="8">
        <f>VLOOKUP($B$4,Inputs!$B$55:$C$82,2,FALSE)*E23</f>
        <v>287953.571893643</v>
      </c>
      <c r="F29" s="8">
        <f>VLOOKUP($B$4,Inputs!$B$55:$C$82,2,FALSE)*F23</f>
        <v>284623.13479174924</v>
      </c>
      <c r="G29" s="8">
        <f>SUM(C29:F29)</f>
        <v>1204355.5839169126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103955.81024672504</v>
      </c>
      <c r="D30" s="49">
        <f>VLOOKUP($B$4,Inputs!$B$21:$C$49,2,FALSE)*D29</f>
        <v>85577.85292273104</v>
      </c>
      <c r="E30" s="49">
        <f>VLOOKUP($B$4,Inputs!$B$21:$C$49,2,FALSE)*E29</f>
        <v>86386.0715680929</v>
      </c>
      <c r="F30" s="49">
        <f>VLOOKUP($B$4,Inputs!$B$21:$C$49,2,FALSE)*F29</f>
        <v>85386.94043752477</v>
      </c>
      <c r="G30" s="49">
        <f>SUM(C30:F30)</f>
        <v>361306.67517507373</v>
      </c>
    </row>
    <row r="31" spans="1:7" ht="9.75">
      <c r="A31" s="20">
        <f>A30+1</f>
        <v>14</v>
      </c>
      <c r="B31" s="1" t="s">
        <v>43</v>
      </c>
      <c r="C31" s="10">
        <f>C29-C30</f>
        <v>242563.55724235845</v>
      </c>
      <c r="D31" s="8">
        <f>D29-D30</f>
        <v>199681.6568197058</v>
      </c>
      <c r="E31" s="8">
        <f>E29-E30</f>
        <v>201567.5003255501</v>
      </c>
      <c r="F31" s="8">
        <f>F29-F30</f>
        <v>199236.19435422448</v>
      </c>
      <c r="G31" s="8">
        <f>SUM(C31:F31)</f>
        <v>843048.9087418388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474453.86149950034</v>
      </c>
      <c r="D36" s="8">
        <f>D23*VLOOKUP($B$4,Inputs!$B$86:$C$113,2,FALSE)</f>
        <v>390576.9449697995</v>
      </c>
      <c r="E36" s="8">
        <f>E23*VLOOKUP($B$4,Inputs!$B$86:$C$113,2,FALSE)</f>
        <v>394265.65131836943</v>
      </c>
      <c r="F36" s="8">
        <f>F23*VLOOKUP($B$4,Inputs!$B$86:$C$113,2,FALSE)</f>
        <v>389705.6212256085</v>
      </c>
      <c r="G36" s="8">
        <f>G23*VLOOKUP($B$4,Inputs!$B$86:$C$113,2,FALSE)</f>
        <v>1649002.0790132778</v>
      </c>
    </row>
    <row r="37" spans="1:7" ht="9.75">
      <c r="A37" s="20">
        <f>A36+1</f>
        <v>16</v>
      </c>
      <c r="B37" s="1" t="s">
        <v>10</v>
      </c>
      <c r="C37" s="10">
        <f>C31-C36</f>
        <v>-231890.3042571419</v>
      </c>
      <c r="D37" s="10">
        <f>D31-D36</f>
        <v>-190895.2881500937</v>
      </c>
      <c r="E37" s="10">
        <f>E31-E36</f>
        <v>-192698.15099281934</v>
      </c>
      <c r="F37" s="10">
        <f>F31-F36</f>
        <v>-190469.42687138403</v>
      </c>
      <c r="G37" s="8">
        <f>G31-G36</f>
        <v>-805953.170271439</v>
      </c>
    </row>
    <row r="38" spans="3:7" ht="9.75">
      <c r="C38" s="9"/>
      <c r="D38" s="7"/>
      <c r="E38" s="7"/>
      <c r="F38" s="7"/>
      <c r="G38" s="7"/>
    </row>
    <row r="40" ht="9.75">
      <c r="B40" s="5" t="s">
        <v>168</v>
      </c>
    </row>
    <row r="41" ht="9.75">
      <c r="B41" s="1" t="s">
        <v>172</v>
      </c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80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NP EDDM Letters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NP EDDM Letters FY23</v>
      </c>
      <c r="C12" s="63">
        <f>VLOOKUP($B$4,'RPW Vol and Rev'!$B$8:$H$43,MATCH('Reg Letters'!C$8,'RPW Vol and Rev'!$B$8:$H$8,FALSE),FALSE)</f>
        <v>9152804</v>
      </c>
      <c r="D12" s="21">
        <f>VLOOKUP($B$4,'RPW Vol and Rev'!$K$8:$P$43,MATCH('Reg Letters'!D$8,'RPW Vol and Rev'!$K$8:$P$8,FALSE),FALSE)</f>
        <v>4155238</v>
      </c>
      <c r="E12" s="22">
        <f>VLOOKUP($B$4,'RPW Vol and Rev'!$K$8:$P$43,MATCH('Reg Letters'!E$8,'RPW Vol and Rev'!$K$8:$P$8,FALSE),FALSE)</f>
        <v>6607184.005070736</v>
      </c>
      <c r="F12" s="22">
        <f>VLOOKUP($B$4,'RPW Vol and Rev'!$K$8:$P$43,MATCH('Reg Letters'!F$8,'RPW Vol and Rev'!$K$8:$P$8,FALSE),FALSE)</f>
        <v>6851334.024141006</v>
      </c>
      <c r="G12" s="13">
        <f>SUM(C12:F12)</f>
        <v>26766560.02921174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NP EDDM Letters FY23</v>
      </c>
      <c r="C13" s="12">
        <f>C12*Inputs!$C$14</f>
        <v>7676086.021529275</v>
      </c>
      <c r="D13" s="13">
        <f>D12*Inputs!$C$14</f>
        <v>3484829.821323308</v>
      </c>
      <c r="E13" s="13">
        <f>E12*Inputs!$C$14</f>
        <v>5541177.630701507</v>
      </c>
      <c r="F13" s="13">
        <f>F12*Inputs!$C$14</f>
        <v>5745936.363494366</v>
      </c>
      <c r="G13" s="13">
        <f>SUM(C13:F13)</f>
        <v>22448029.837048456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NP EDDM Letters FY23</v>
      </c>
      <c r="C14" s="12">
        <f>C13*Inputs!$C$15</f>
        <v>3838043.0107646375</v>
      </c>
      <c r="D14" s="13">
        <f>D13*Inputs!$C$15</f>
        <v>1742414.910661654</v>
      </c>
      <c r="E14" s="13">
        <f>E13*Inputs!$C$15</f>
        <v>2770588.8153507537</v>
      </c>
      <c r="F14" s="13">
        <f>F13*Inputs!$C$15</f>
        <v>2872968.181747183</v>
      </c>
      <c r="G14" s="13">
        <f>SUM(C14:F14)</f>
        <v>11224014.918524228</v>
      </c>
    </row>
    <row r="15" spans="1:7" ht="9.75">
      <c r="A15" s="20">
        <f>A14+1</f>
        <v>4</v>
      </c>
      <c r="B15" s="1" t="s">
        <v>128</v>
      </c>
      <c r="C15" s="12">
        <f>C14*Inputs!$C$8</f>
        <v>3838043.0107646375</v>
      </c>
      <c r="D15" s="13">
        <f>D14*Inputs!$C$8</f>
        <v>1742414.910661654</v>
      </c>
      <c r="E15" s="13">
        <f>E14*Inputs!$C$8</f>
        <v>2770588.8153507537</v>
      </c>
      <c r="F15" s="13">
        <f>F14*Inputs!$C$8</f>
        <v>2872968.181747183</v>
      </c>
      <c r="G15" s="13">
        <f>SUM(C15:F15)</f>
        <v>11224014.918524228</v>
      </c>
    </row>
    <row r="16" spans="1:7" ht="9.75">
      <c r="A16" s="20">
        <f>A15+1</f>
        <v>5</v>
      </c>
      <c r="B16" s="1" t="s">
        <v>62</v>
      </c>
      <c r="C16" s="12">
        <f>C15+C23</f>
        <v>4267903.8279702775</v>
      </c>
      <c r="D16" s="13">
        <f>D15+D23</f>
        <v>1937565.3806557595</v>
      </c>
      <c r="E16" s="13">
        <f>E15+E23</f>
        <v>3080894.7626700383</v>
      </c>
      <c r="F16" s="13">
        <f>F15+F23</f>
        <v>3194740.618102868</v>
      </c>
      <c r="G16" s="13">
        <f>SUM(C16:F16)</f>
        <v>12481104.589398943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1535217.204305855</v>
      </c>
      <c r="D19" s="13">
        <f>D14*Inputs!$C$16</f>
        <v>696965.9642646617</v>
      </c>
      <c r="E19" s="13">
        <f>E14*Inputs!$C$16</f>
        <v>1108235.5261403015</v>
      </c>
      <c r="F19" s="13">
        <f>F14*Inputs!$C$16</f>
        <v>1149187.2726988734</v>
      </c>
      <c r="G19" s="13">
        <f>SUM(C19:F19)</f>
        <v>4489605.967409692</v>
      </c>
    </row>
    <row r="20" spans="1:7" ht="9.75">
      <c r="A20" s="20">
        <f>A19+1</f>
        <v>7</v>
      </c>
      <c r="B20" s="1" t="s">
        <v>5</v>
      </c>
      <c r="C20" s="12">
        <f>C19*Inputs!$C$8</f>
        <v>1535217.204305855</v>
      </c>
      <c r="D20" s="13">
        <f>D19*Inputs!$C$8</f>
        <v>696965.9642646617</v>
      </c>
      <c r="E20" s="13">
        <f>E19*Inputs!$C$8</f>
        <v>1108235.5261403015</v>
      </c>
      <c r="F20" s="13">
        <f>F19*Inputs!$C$8</f>
        <v>1149187.2726988734</v>
      </c>
      <c r="G20" s="13">
        <f>SUM(C20:F20)</f>
        <v>4489605.967409692</v>
      </c>
    </row>
    <row r="21" spans="1:7" ht="9.75">
      <c r="A21" s="20">
        <f>A20+1</f>
        <v>8</v>
      </c>
      <c r="B21" s="1" t="s">
        <v>62</v>
      </c>
      <c r="C21" s="12">
        <f>C20*(1+Inputs!$C$18)</f>
        <v>1965078.0215114946</v>
      </c>
      <c r="D21" s="12">
        <f>D20*(1+Inputs!$C$18)</f>
        <v>892116.4342587669</v>
      </c>
      <c r="E21" s="12">
        <f>E20*(1+Inputs!$C$18)</f>
        <v>1418541.473459586</v>
      </c>
      <c r="F21" s="12">
        <f>F20*(1+Inputs!$C$18)</f>
        <v>1470959.709054558</v>
      </c>
      <c r="G21" s="13">
        <f>SUM(C21:F21)</f>
        <v>5746695.638284406</v>
      </c>
    </row>
    <row r="22" spans="1:7" ht="9.75">
      <c r="A22" s="20">
        <f>A21+1</f>
        <v>9</v>
      </c>
      <c r="B22" s="1" t="s">
        <v>12</v>
      </c>
      <c r="C22" s="12">
        <f>C21-C19</f>
        <v>429860.81720563956</v>
      </c>
      <c r="D22" s="13">
        <f>D21-D19</f>
        <v>195150.46999410528</v>
      </c>
      <c r="E22" s="13">
        <f>E21-E19</f>
        <v>310305.94731928455</v>
      </c>
      <c r="F22" s="13">
        <f>F21-F19</f>
        <v>321772.43635568465</v>
      </c>
      <c r="G22" s="13">
        <f>SUM(C22:F22)</f>
        <v>1257089.670874714</v>
      </c>
    </row>
    <row r="23" spans="1:7" ht="9.75">
      <c r="A23" s="20">
        <f>A22+1</f>
        <v>10</v>
      </c>
      <c r="B23" s="47" t="s">
        <v>8</v>
      </c>
      <c r="C23" s="50">
        <f>C21-C20</f>
        <v>429860.81720563956</v>
      </c>
      <c r="D23" s="51">
        <f>D21-D20</f>
        <v>195150.46999410528</v>
      </c>
      <c r="E23" s="51">
        <f>E21-E20</f>
        <v>310305.94731928455</v>
      </c>
      <c r="F23" s="51">
        <f>F21-F20</f>
        <v>321772.43635568465</v>
      </c>
      <c r="G23" s="51">
        <f>SUM(C23:F23)</f>
        <v>1257089.670874714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204814.91258078307</v>
      </c>
      <c r="D28" s="8">
        <f>D21*(D29/D23)</f>
        <v>92982.9490200323</v>
      </c>
      <c r="E28" s="8">
        <f>E21*(E29/E23)</f>
        <v>147850.84597066767</v>
      </c>
      <c r="F28" s="8">
        <f>F21*(F29/F23)</f>
        <v>153314.2607681957</v>
      </c>
      <c r="G28" s="13">
        <f>SUM(C28:F28)</f>
        <v>598962.9683396787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44803.262127046306</v>
      </c>
      <c r="D29" s="8">
        <f>VLOOKUP($B$4,Inputs!$B$55:$C$82,2,FALSE)*D23</f>
        <v>20340.02009813207</v>
      </c>
      <c r="E29" s="8">
        <f>VLOOKUP($B$4,Inputs!$B$55:$C$82,2,FALSE)*E23</f>
        <v>32342.37255608356</v>
      </c>
      <c r="F29" s="8">
        <f>VLOOKUP($B$4,Inputs!$B$55:$C$82,2,FALSE)*F23</f>
        <v>33537.49454304282</v>
      </c>
      <c r="G29" s="8">
        <f>SUM(C29:F29)</f>
        <v>131023.14932430476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13440.978638113891</v>
      </c>
      <c r="D30" s="49">
        <f>VLOOKUP($B$4,Inputs!$B$21:$C$49,2,FALSE)*D29</f>
        <v>6102.006029439621</v>
      </c>
      <c r="E30" s="49">
        <f>VLOOKUP($B$4,Inputs!$B$21:$C$49,2,FALSE)*E29</f>
        <v>9702.711766825067</v>
      </c>
      <c r="F30" s="49">
        <f>VLOOKUP($B$4,Inputs!$B$21:$C$49,2,FALSE)*F29</f>
        <v>10061.248362912846</v>
      </c>
      <c r="G30" s="49">
        <f>SUM(C30:F30)</f>
        <v>39306.94479729143</v>
      </c>
    </row>
    <row r="31" spans="1:7" ht="9.75">
      <c r="A31" s="20">
        <f>A30+1</f>
        <v>14</v>
      </c>
      <c r="B31" s="1" t="s">
        <v>43</v>
      </c>
      <c r="C31" s="10">
        <f>C29-C30</f>
        <v>31362.283488932415</v>
      </c>
      <c r="D31" s="8">
        <f>D29-D30</f>
        <v>14238.01406869245</v>
      </c>
      <c r="E31" s="8">
        <f>E29-E30</f>
        <v>22639.660789258494</v>
      </c>
      <c r="F31" s="8">
        <f>F29-F30</f>
        <v>23476.246180129972</v>
      </c>
      <c r="G31" s="8">
        <f>SUM(C31:F31)</f>
        <v>91716.20452701332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43292.65480712158</v>
      </c>
      <c r="D36" s="8">
        <f>D23*VLOOKUP($B$4,Inputs!$B$86:$C$113,2,FALSE)</f>
        <v>19654.226658348</v>
      </c>
      <c r="E36" s="8">
        <f>E23*VLOOKUP($B$4,Inputs!$B$86:$C$113,2,FALSE)</f>
        <v>31251.90229995774</v>
      </c>
      <c r="F36" s="8">
        <f>F23*VLOOKUP($B$4,Inputs!$B$86:$C$113,2,FALSE)</f>
        <v>32406.729006261223</v>
      </c>
      <c r="G36" s="8">
        <f>G23*VLOOKUP($B$4,Inputs!$B$86:$C$113,2,FALSE)</f>
        <v>126605.51277168853</v>
      </c>
    </row>
    <row r="37" spans="1:7" ht="9.75">
      <c r="A37" s="20">
        <f>A36+1</f>
        <v>16</v>
      </c>
      <c r="B37" s="1" t="s">
        <v>10</v>
      </c>
      <c r="C37" s="10">
        <f>C31-C36</f>
        <v>-11930.371318189165</v>
      </c>
      <c r="D37" s="10">
        <f>D31-D36</f>
        <v>-5416.212589655552</v>
      </c>
      <c r="E37" s="10">
        <f>E31-E36</f>
        <v>-8612.241510699245</v>
      </c>
      <c r="F37" s="10">
        <f>F31-F36</f>
        <v>-8930.48282613125</v>
      </c>
      <c r="G37" s="8">
        <f>G31-G36</f>
        <v>-34889.30824467521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81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NP EDDM Flats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NP EDDM Flats FY23</v>
      </c>
      <c r="C12" s="63">
        <f>VLOOKUP($B$4,'RPW Vol and Rev'!$B$8:$H$43,MATCH('Reg Letters'!C$8,'RPW Vol and Rev'!$B$8:$H$8,FALSE),FALSE)</f>
        <v>57228684</v>
      </c>
      <c r="D12" s="21">
        <f>VLOOKUP($B$4,'RPW Vol and Rev'!$K$8:$P$43,MATCH('Reg Letters'!D$8,'RPW Vol and Rev'!$K$8:$P$8,FALSE),FALSE)</f>
        <v>49129085</v>
      </c>
      <c r="E12" s="22">
        <f>VLOOKUP($B$4,'RPW Vol and Rev'!$K$8:$P$43,MATCH('Reg Letters'!E$8,'RPW Vol and Rev'!$K$8:$P$8,FALSE),FALSE)</f>
        <v>50733355.80108623</v>
      </c>
      <c r="F12" s="22">
        <f>VLOOKUP($B$4,'RPW Vol and Rev'!$K$8:$P$43,MATCH('Reg Letters'!F$8,'RPW Vol and Rev'!$K$8:$P$8,FALSE),FALSE)</f>
        <v>53094546.50640987</v>
      </c>
      <c r="G12" s="13">
        <f>SUM(C12:F12)</f>
        <v>210185671.30749613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NP EDDM Flats FY23</v>
      </c>
      <c r="C13" s="12">
        <f>C12*Inputs!$C$14</f>
        <v>47995379.479656294</v>
      </c>
      <c r="D13" s="13">
        <f>D12*Inputs!$C$14</f>
        <v>41202573.83628269</v>
      </c>
      <c r="E13" s="13">
        <f>E12*Inputs!$C$14</f>
        <v>42548010.78336094</v>
      </c>
      <c r="F13" s="13">
        <f>F12*Inputs!$C$14</f>
        <v>44528245.798477575</v>
      </c>
      <c r="G13" s="13">
        <f>SUM(C13:F13)</f>
        <v>176274209.8977775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NP EDDM Flats FY23</v>
      </c>
      <c r="C14" s="12">
        <f>C13*Inputs!$C$15</f>
        <v>23997689.739828147</v>
      </c>
      <c r="D14" s="13">
        <f>D13*Inputs!$C$15</f>
        <v>20601286.918141346</v>
      </c>
      <c r="E14" s="13">
        <f>E13*Inputs!$C$15</f>
        <v>21274005.39168047</v>
      </c>
      <c r="F14" s="13">
        <f>F13*Inputs!$C$15</f>
        <v>22264122.899238788</v>
      </c>
      <c r="G14" s="13">
        <f>SUM(C14:F14)</f>
        <v>88137104.94888875</v>
      </c>
    </row>
    <row r="15" spans="1:7" ht="9.75">
      <c r="A15" s="20">
        <f>A14+1</f>
        <v>4</v>
      </c>
      <c r="B15" s="1" t="s">
        <v>128</v>
      </c>
      <c r="C15" s="12">
        <f>C14*Inputs!$C$8</f>
        <v>23997689.739828147</v>
      </c>
      <c r="D15" s="13">
        <f>D14*Inputs!$C$8</f>
        <v>20601286.918141346</v>
      </c>
      <c r="E15" s="13">
        <f>E14*Inputs!$C$8</f>
        <v>21274005.39168047</v>
      </c>
      <c r="F15" s="13">
        <f>F14*Inputs!$C$8</f>
        <v>22264122.899238788</v>
      </c>
      <c r="G15" s="13">
        <f>SUM(C15:F15)</f>
        <v>88137104.94888875</v>
      </c>
    </row>
    <row r="16" spans="1:7" ht="9.75">
      <c r="A16" s="20">
        <f>A15+1</f>
        <v>5</v>
      </c>
      <c r="B16" s="1" t="s">
        <v>62</v>
      </c>
      <c r="C16" s="12">
        <f>C15+C23</f>
        <v>26685430.990688898</v>
      </c>
      <c r="D16" s="13">
        <f>D15+D23</f>
        <v>22908631.052973177</v>
      </c>
      <c r="E16" s="13">
        <f>E15+E23</f>
        <v>23656693.995548684</v>
      </c>
      <c r="F16" s="13">
        <f>F15+F23</f>
        <v>24757704.66395353</v>
      </c>
      <c r="G16" s="13">
        <f>SUM(C16:F16)</f>
        <v>98008460.70316428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9599075.895931259</v>
      </c>
      <c r="D19" s="13">
        <f>D14*Inputs!$C$16</f>
        <v>8240514.767256539</v>
      </c>
      <c r="E19" s="13">
        <f>E14*Inputs!$C$16</f>
        <v>8509602.156672189</v>
      </c>
      <c r="F19" s="13">
        <f>F14*Inputs!$C$16</f>
        <v>8905649.159695515</v>
      </c>
      <c r="G19" s="13">
        <f>SUM(C19:F19)</f>
        <v>35254841.9795555</v>
      </c>
    </row>
    <row r="20" spans="1:7" ht="9.75">
      <c r="A20" s="20">
        <f>A19+1</f>
        <v>7</v>
      </c>
      <c r="B20" s="1" t="s">
        <v>5</v>
      </c>
      <c r="C20" s="12">
        <f>C19*Inputs!$C$8</f>
        <v>9599075.895931259</v>
      </c>
      <c r="D20" s="13">
        <f>D19*Inputs!$C$8</f>
        <v>8240514.767256539</v>
      </c>
      <c r="E20" s="13">
        <f>E19*Inputs!$C$8</f>
        <v>8509602.156672189</v>
      </c>
      <c r="F20" s="13">
        <f>F19*Inputs!$C$8</f>
        <v>8905649.159695515</v>
      </c>
      <c r="G20" s="13">
        <f>SUM(C20:F20)</f>
        <v>35254841.9795555</v>
      </c>
    </row>
    <row r="21" spans="1:7" ht="9.75">
      <c r="A21" s="20">
        <f>A20+1</f>
        <v>8</v>
      </c>
      <c r="B21" s="1" t="s">
        <v>62</v>
      </c>
      <c r="C21" s="12">
        <f>C20*(1+Inputs!$C$18)</f>
        <v>12286817.146792011</v>
      </c>
      <c r="D21" s="12">
        <f>D20*(1+Inputs!$C$18)</f>
        <v>10547858.90208837</v>
      </c>
      <c r="E21" s="12">
        <f>E20*(1+Inputs!$C$18)</f>
        <v>10892290.760540402</v>
      </c>
      <c r="F21" s="12">
        <f>F20*(1+Inputs!$C$18)</f>
        <v>11399230.92441026</v>
      </c>
      <c r="G21" s="13">
        <f>SUM(C21:F21)</f>
        <v>45126197.73383105</v>
      </c>
    </row>
    <row r="22" spans="1:7" ht="9.75">
      <c r="A22" s="20">
        <f>A21+1</f>
        <v>9</v>
      </c>
      <c r="B22" s="1" t="s">
        <v>12</v>
      </c>
      <c r="C22" s="12">
        <f>C21-C19</f>
        <v>2687741.2508607525</v>
      </c>
      <c r="D22" s="13">
        <f>D21-D19</f>
        <v>2307344.134831831</v>
      </c>
      <c r="E22" s="13">
        <f>E21-E19</f>
        <v>2382688.6038682126</v>
      </c>
      <c r="F22" s="13">
        <f>F21-F19</f>
        <v>2493581.764714744</v>
      </c>
      <c r="G22" s="13">
        <f>SUM(C22:F22)</f>
        <v>9871355.75427554</v>
      </c>
    </row>
    <row r="23" spans="1:7" ht="9.75">
      <c r="A23" s="20">
        <f>A22+1</f>
        <v>10</v>
      </c>
      <c r="B23" s="47" t="s">
        <v>8</v>
      </c>
      <c r="C23" s="50">
        <f>C21-C20</f>
        <v>2687741.2508607525</v>
      </c>
      <c r="D23" s="51">
        <f>D21-D20</f>
        <v>2307344.134831831</v>
      </c>
      <c r="E23" s="51">
        <f>E21-E20</f>
        <v>2382688.6038682126</v>
      </c>
      <c r="F23" s="51">
        <f>F21-F20</f>
        <v>2493581.764714744</v>
      </c>
      <c r="G23" s="51">
        <f>SUM(C23:F23)</f>
        <v>9871355.75427554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1294455.6722195775</v>
      </c>
      <c r="D28" s="8">
        <f>D21*(D29/D23)</f>
        <v>1111250.8326979484</v>
      </c>
      <c r="E28" s="8">
        <f>E21*(E29/E23)</f>
        <v>1147537.835877024</v>
      </c>
      <c r="F28" s="8">
        <f>F21*(F29/F23)</f>
        <v>1200945.6112803223</v>
      </c>
      <c r="G28" s="13">
        <f>SUM(C28:F28)</f>
        <v>4754189.952074872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283162.17829803255</v>
      </c>
      <c r="D29" s="8">
        <f>VLOOKUP($B$4,Inputs!$B$55:$C$82,2,FALSE)*D23</f>
        <v>243086.1196526762</v>
      </c>
      <c r="E29" s="8">
        <f>VLOOKUP($B$4,Inputs!$B$55:$C$82,2,FALSE)*E23</f>
        <v>251023.90159809898</v>
      </c>
      <c r="F29" s="8">
        <f>VLOOKUP($B$4,Inputs!$B$55:$C$82,2,FALSE)*F23</f>
        <v>262706.85246757045</v>
      </c>
      <c r="G29" s="8">
        <f>SUM(C29:F29)</f>
        <v>1039979.0520163781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84948.65348940976</v>
      </c>
      <c r="D30" s="49">
        <f>VLOOKUP($B$4,Inputs!$B$21:$C$49,2,FALSE)*D29</f>
        <v>72925.83589580285</v>
      </c>
      <c r="E30" s="49">
        <f>VLOOKUP($B$4,Inputs!$B$21:$C$49,2,FALSE)*E29</f>
        <v>75307.1704794297</v>
      </c>
      <c r="F30" s="49">
        <f>VLOOKUP($B$4,Inputs!$B$21:$C$49,2,FALSE)*F29</f>
        <v>78812.05574027113</v>
      </c>
      <c r="G30" s="49">
        <f>SUM(C30:F30)</f>
        <v>311993.7156049134</v>
      </c>
    </row>
    <row r="31" spans="1:7" ht="9.75">
      <c r="A31" s="20">
        <f>A30+1</f>
        <v>14</v>
      </c>
      <c r="B31" s="1" t="s">
        <v>43</v>
      </c>
      <c r="C31" s="10">
        <f>C29-C30</f>
        <v>198213.52480862278</v>
      </c>
      <c r="D31" s="8">
        <f>D29-D30</f>
        <v>170160.28375687334</v>
      </c>
      <c r="E31" s="8">
        <f>E29-E30</f>
        <v>175716.73111866927</v>
      </c>
      <c r="F31" s="8">
        <f>F29-F30</f>
        <v>183894.79672729934</v>
      </c>
      <c r="G31" s="8">
        <f>SUM(C31:F31)</f>
        <v>727985.3364114647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411414.32690460247</v>
      </c>
      <c r="D36" s="8">
        <f>D23*VLOOKUP($B$4,Inputs!$B$86:$C$113,2,FALSE)</f>
        <v>353186.689330721</v>
      </c>
      <c r="E36" s="8">
        <f>E23*VLOOKUP($B$4,Inputs!$B$86:$C$113,2,FALSE)</f>
        <v>364719.71692579193</v>
      </c>
      <c r="F36" s="8">
        <f>F23*VLOOKUP($B$4,Inputs!$B$86:$C$113,2,FALSE)</f>
        <v>381694.20623475674</v>
      </c>
      <c r="G36" s="8">
        <f>G23*VLOOKUP($B$4,Inputs!$B$86:$C$113,2,FALSE)</f>
        <v>1511014.9393958722</v>
      </c>
    </row>
    <row r="37" spans="1:7" ht="9.75">
      <c r="A37" s="20">
        <f>A36+1</f>
        <v>16</v>
      </c>
      <c r="B37" s="1" t="s">
        <v>10</v>
      </c>
      <c r="C37" s="10">
        <f>C31-C36</f>
        <v>-213200.80209597968</v>
      </c>
      <c r="D37" s="10">
        <f>D31-D36</f>
        <v>-183026.40557384765</v>
      </c>
      <c r="E37" s="10">
        <f>E31-E36</f>
        <v>-189002.98580712266</v>
      </c>
      <c r="F37" s="10">
        <f>F31-F36</f>
        <v>-197799.4095074574</v>
      </c>
      <c r="G37" s="8">
        <f>G31-G36</f>
        <v>-783029.6029844075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84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NP HD Plus Letters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NP HD Plus Letters FY23</v>
      </c>
      <c r="C12" s="63">
        <f>VLOOKUP($B$4,'RPW Vol and Rev'!$B$8:$H$43,MATCH('Reg Letters'!C$8,'RPW Vol and Rev'!$B$8:$H$8,FALSE),FALSE)</f>
        <v>80522541</v>
      </c>
      <c r="D12" s="21">
        <f>VLOOKUP($B$4,'RPW Vol and Rev'!$K$8:$P$43,MATCH('Reg Letters'!D$8,'RPW Vol and Rev'!$K$8:$P$8,FALSE),FALSE)</f>
        <v>9453354</v>
      </c>
      <c r="E12" s="22">
        <f>VLOOKUP($B$4,'RPW Vol and Rev'!$K$8:$P$43,MATCH('Reg Letters'!E$8,'RPW Vol and Rev'!$K$8:$P$8,FALSE),FALSE)</f>
        <v>16916765.034985725</v>
      </c>
      <c r="F12" s="22">
        <f>VLOOKUP($B$4,'RPW Vol and Rev'!$K$8:$P$43,MATCH('Reg Letters'!F$8,'RPW Vol and Rev'!$K$8:$P$8,FALSE),FALSE)</f>
        <v>19099072.94582904</v>
      </c>
      <c r="G12" s="13">
        <f>SUM(C12:F12)</f>
        <v>125991732.98081475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NP HD Plus Letters FY23</v>
      </c>
      <c r="C13" s="12">
        <f>C12*Inputs!$C$14</f>
        <v>67530993.9323641</v>
      </c>
      <c r="D13" s="13">
        <f>D12*Inputs!$C$14</f>
        <v>7928145.134099655</v>
      </c>
      <c r="E13" s="13">
        <f>E12*Inputs!$C$14</f>
        <v>14187405.69715566</v>
      </c>
      <c r="F13" s="13">
        <f>F12*Inputs!$C$14</f>
        <v>16017618.957386857</v>
      </c>
      <c r="G13" s="13">
        <f>SUM(C13:F13)</f>
        <v>105664163.72100627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NP HD Plus Letters FY23</v>
      </c>
      <c r="C14" s="12">
        <f>C13*Inputs!$C$15</f>
        <v>33765496.96618205</v>
      </c>
      <c r="D14" s="13">
        <f>D13*Inputs!$C$15</f>
        <v>3964072.5670498274</v>
      </c>
      <c r="E14" s="13">
        <f>E13*Inputs!$C$15</f>
        <v>7093702.84857783</v>
      </c>
      <c r="F14" s="13">
        <f>F13*Inputs!$C$15</f>
        <v>8008809.478693428</v>
      </c>
      <c r="G14" s="13">
        <f>SUM(C14:F14)</f>
        <v>52832081.86050314</v>
      </c>
    </row>
    <row r="15" spans="1:7" ht="9.75">
      <c r="A15" s="20">
        <f>A14+1</f>
        <v>4</v>
      </c>
      <c r="B15" s="1" t="s">
        <v>128</v>
      </c>
      <c r="C15" s="12">
        <f>C14*Inputs!$C$8</f>
        <v>33765496.96618205</v>
      </c>
      <c r="D15" s="13">
        <f>D14*Inputs!$C$8</f>
        <v>3964072.5670498274</v>
      </c>
      <c r="E15" s="13">
        <f>E14*Inputs!$C$8</f>
        <v>7093702.84857783</v>
      </c>
      <c r="F15" s="13">
        <f>F14*Inputs!$C$8</f>
        <v>8008809.478693428</v>
      </c>
      <c r="G15" s="13">
        <f>SUM(C15:F15)</f>
        <v>52832081.86050314</v>
      </c>
    </row>
    <row r="16" spans="1:7" ht="9.75">
      <c r="A16" s="20">
        <f>A15+1</f>
        <v>5</v>
      </c>
      <c r="B16" s="1" t="s">
        <v>62</v>
      </c>
      <c r="C16" s="12">
        <f>C15+C23</f>
        <v>37547232.62639444</v>
      </c>
      <c r="D16" s="13">
        <f>D15+D23</f>
        <v>4408048.694559408</v>
      </c>
      <c r="E16" s="13">
        <f>E15+E23</f>
        <v>7888197.567618547</v>
      </c>
      <c r="F16" s="13">
        <f>F15+F23</f>
        <v>8905796.140307093</v>
      </c>
      <c r="G16" s="13">
        <f>SUM(C16:F16)</f>
        <v>58749275.02887949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13506198.786472822</v>
      </c>
      <c r="D19" s="13">
        <f>D14*Inputs!$C$16</f>
        <v>1585629.026819931</v>
      </c>
      <c r="E19" s="13">
        <f>E14*Inputs!$C$16</f>
        <v>2837481.139431132</v>
      </c>
      <c r="F19" s="13">
        <f>F14*Inputs!$C$16</f>
        <v>3203523.7914773715</v>
      </c>
      <c r="G19" s="13">
        <f>SUM(C19:F19)</f>
        <v>21132832.744201254</v>
      </c>
    </row>
    <row r="20" spans="1:7" ht="9.75">
      <c r="A20" s="20">
        <f>A19+1</f>
        <v>7</v>
      </c>
      <c r="B20" s="1" t="s">
        <v>5</v>
      </c>
      <c r="C20" s="12">
        <f>C19*Inputs!$C$8</f>
        <v>13506198.786472822</v>
      </c>
      <c r="D20" s="13">
        <f>D19*Inputs!$C$8</f>
        <v>1585629.026819931</v>
      </c>
      <c r="E20" s="13">
        <f>E19*Inputs!$C$8</f>
        <v>2837481.139431132</v>
      </c>
      <c r="F20" s="13">
        <f>F19*Inputs!$C$8</f>
        <v>3203523.7914773715</v>
      </c>
      <c r="G20" s="13">
        <f>SUM(C20:F20)</f>
        <v>21132832.744201254</v>
      </c>
    </row>
    <row r="21" spans="1:7" ht="9.75">
      <c r="A21" s="20">
        <f>A20+1</f>
        <v>8</v>
      </c>
      <c r="B21" s="1" t="s">
        <v>62</v>
      </c>
      <c r="C21" s="12">
        <f>C20*(1+Inputs!$C$18)</f>
        <v>17287934.446685214</v>
      </c>
      <c r="D21" s="12">
        <f>D20*(1+Inputs!$C$18)</f>
        <v>2029605.1543295118</v>
      </c>
      <c r="E21" s="12">
        <f>E20*(1+Inputs!$C$18)</f>
        <v>3631975.858471849</v>
      </c>
      <c r="F21" s="12">
        <f>F20*(1+Inputs!$C$18)</f>
        <v>4100510.4530910356</v>
      </c>
      <c r="G21" s="13">
        <f>SUM(C21:F21)</f>
        <v>27050025.91257761</v>
      </c>
    </row>
    <row r="22" spans="1:7" ht="9.75">
      <c r="A22" s="20">
        <f>A21+1</f>
        <v>9</v>
      </c>
      <c r="B22" s="1" t="s">
        <v>12</v>
      </c>
      <c r="C22" s="12">
        <f>C21-C19</f>
        <v>3781735.660212392</v>
      </c>
      <c r="D22" s="13">
        <f>D21-D19</f>
        <v>443976.1275095807</v>
      </c>
      <c r="E22" s="13">
        <f>E21-E19</f>
        <v>794494.719040717</v>
      </c>
      <c r="F22" s="13">
        <f>F21-F19</f>
        <v>896986.6616136641</v>
      </c>
      <c r="G22" s="13">
        <f>SUM(C22:F22)</f>
        <v>5917193.1683763545</v>
      </c>
    </row>
    <row r="23" spans="1:7" ht="9.75">
      <c r="A23" s="20">
        <f>A22+1</f>
        <v>10</v>
      </c>
      <c r="B23" s="47" t="s">
        <v>8</v>
      </c>
      <c r="C23" s="50">
        <f>C21-C20</f>
        <v>3781735.660212392</v>
      </c>
      <c r="D23" s="51">
        <f>D21-D20</f>
        <v>443976.1275095807</v>
      </c>
      <c r="E23" s="51">
        <f>E21-E20</f>
        <v>794494.719040717</v>
      </c>
      <c r="F23" s="51">
        <f>F21-F20</f>
        <v>896986.6616136641</v>
      </c>
      <c r="G23" s="51">
        <f>SUM(C23:F23)</f>
        <v>5917193.1683763545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1851140.8114381162</v>
      </c>
      <c r="D28" s="8">
        <f>D21*(D29/D23)</f>
        <v>217324.107970857</v>
      </c>
      <c r="E28" s="8">
        <f>E21*(E29/E23)</f>
        <v>388901.21653974405</v>
      </c>
      <c r="F28" s="8">
        <f>F21*(F29/F23)</f>
        <v>439070.51307108824</v>
      </c>
      <c r="G28" s="13">
        <f>SUM(C28:F28)</f>
        <v>2896436.6490198057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404937.0525020881</v>
      </c>
      <c r="D29" s="8">
        <f>VLOOKUP($B$4,Inputs!$B$55:$C$82,2,FALSE)*D23</f>
        <v>47539.64861862497</v>
      </c>
      <c r="E29" s="8">
        <f>VLOOKUP($B$4,Inputs!$B$55:$C$82,2,FALSE)*E23</f>
        <v>85072.14111806902</v>
      </c>
      <c r="F29" s="8">
        <f>VLOOKUP($B$4,Inputs!$B$55:$C$82,2,FALSE)*F23</f>
        <v>96046.67473430056</v>
      </c>
      <c r="G29" s="8">
        <f>SUM(C29:F29)</f>
        <v>633595.5169730827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121481.11575062641</v>
      </c>
      <c r="D30" s="49">
        <f>VLOOKUP($B$4,Inputs!$B$21:$C$49,2,FALSE)*D29</f>
        <v>14261.89458558749</v>
      </c>
      <c r="E30" s="49">
        <f>VLOOKUP($B$4,Inputs!$B$21:$C$49,2,FALSE)*E29</f>
        <v>25521.642335420704</v>
      </c>
      <c r="F30" s="49">
        <f>VLOOKUP($B$4,Inputs!$B$21:$C$49,2,FALSE)*F29</f>
        <v>28814.002420290166</v>
      </c>
      <c r="G30" s="49">
        <f>SUM(C30:F30)</f>
        <v>190078.65509192477</v>
      </c>
    </row>
    <row r="31" spans="1:7" ht="9.75">
      <c r="A31" s="20">
        <f>A30+1</f>
        <v>14</v>
      </c>
      <c r="B31" s="1" t="s">
        <v>43</v>
      </c>
      <c r="C31" s="10">
        <f>C29-C30</f>
        <v>283455.93675146165</v>
      </c>
      <c r="D31" s="8">
        <f>D29-D30</f>
        <v>33277.754033037476</v>
      </c>
      <c r="E31" s="8">
        <f>E29-E30</f>
        <v>59550.49878264831</v>
      </c>
      <c r="F31" s="8">
        <f>F29-F30</f>
        <v>67232.67231401039</v>
      </c>
      <c r="G31" s="8">
        <f>SUM(C31:F31)</f>
        <v>443516.8618811578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380870.667798119</v>
      </c>
      <c r="D36" s="8">
        <f>D23*VLOOKUP($B$4,Inputs!$B$86:$C$113,2,FALSE)</f>
        <v>44714.252757026356</v>
      </c>
      <c r="E36" s="8">
        <f>E23*VLOOKUP($B$4,Inputs!$B$86:$C$113,2,FALSE)</f>
        <v>80016.09879473227</v>
      </c>
      <c r="F36" s="8">
        <f>F23*VLOOKUP($B$4,Inputs!$B$86:$C$113,2,FALSE)</f>
        <v>90338.38943561024</v>
      </c>
      <c r="G36" s="8">
        <f>G23*VLOOKUP($B$4,Inputs!$B$86:$C$113,2,FALSE)</f>
        <v>595939.408785488</v>
      </c>
    </row>
    <row r="37" spans="1:7" ht="9.75">
      <c r="A37" s="20">
        <f>A36+1</f>
        <v>16</v>
      </c>
      <c r="B37" s="1" t="s">
        <v>10</v>
      </c>
      <c r="C37" s="10">
        <f>C31-C36</f>
        <v>-97414.73104665737</v>
      </c>
      <c r="D37" s="10">
        <f>D31-D36</f>
        <v>-11436.49872398888</v>
      </c>
      <c r="E37" s="10">
        <f>E31-E36</f>
        <v>-20465.60001208396</v>
      </c>
      <c r="F37" s="10">
        <f>F31-F36</f>
        <v>-23105.717121599853</v>
      </c>
      <c r="G37" s="8">
        <f>G31-G36</f>
        <v>-152422.5469043302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85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NP HD Plus Flats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NP HD Plus Flats FY23</v>
      </c>
      <c r="C12" s="63">
        <f>VLOOKUP($B$4,'RPW Vol and Rev'!$B$8:$H$43,MATCH('Reg Letters'!C$8,'RPW Vol and Rev'!$B$8:$H$8,FALSE),FALSE)</f>
        <v>55880191</v>
      </c>
      <c r="D12" s="21">
        <f>VLOOKUP($B$4,'RPW Vol and Rev'!$K$8:$P$43,MATCH('Reg Letters'!D$8,'RPW Vol and Rev'!$K$8:$P$8,FALSE),FALSE)</f>
        <v>5460182</v>
      </c>
      <c r="E12" s="22">
        <f>VLOOKUP($B$4,'RPW Vol and Rev'!$K$8:$P$43,MATCH('Reg Letters'!E$8,'RPW Vol and Rev'!$K$8:$P$8,FALSE),FALSE)</f>
        <v>27867863.23179908</v>
      </c>
      <c r="F12" s="22">
        <f>VLOOKUP($B$4,'RPW Vol and Rev'!$K$8:$P$43,MATCH('Reg Letters'!F$8,'RPW Vol and Rev'!$K$8:$P$8,FALSE),FALSE)</f>
        <v>29880774.640462343</v>
      </c>
      <c r="G12" s="13">
        <f>SUM(C12:F12)</f>
        <v>119089010.87226142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NP HD Plus Flats FY23</v>
      </c>
      <c r="C13" s="12">
        <f>C12*Inputs!$C$14</f>
        <v>46864453.01521654</v>
      </c>
      <c r="D13" s="13">
        <f>D12*Inputs!$C$14</f>
        <v>4579233.5032199705</v>
      </c>
      <c r="E13" s="13">
        <f>E12*Inputs!$C$14</f>
        <v>23371648.22971218</v>
      </c>
      <c r="F13" s="13">
        <f>F12*Inputs!$C$14</f>
        <v>25059795.50421045</v>
      </c>
      <c r="G13" s="13">
        <f>SUM(C13:F13)</f>
        <v>99875130.25235912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NP HD Plus Flats FY23</v>
      </c>
      <c r="C14" s="12">
        <f>C13*Inputs!$C$15</f>
        <v>23432226.50760827</v>
      </c>
      <c r="D14" s="13">
        <f>D13*Inputs!$C$15</f>
        <v>2289616.7516099853</v>
      </c>
      <c r="E14" s="13">
        <f>E13*Inputs!$C$15</f>
        <v>11685824.11485609</v>
      </c>
      <c r="F14" s="13">
        <f>F13*Inputs!$C$15</f>
        <v>12529897.752105225</v>
      </c>
      <c r="G14" s="13">
        <f>SUM(C14:F14)</f>
        <v>49937565.12617956</v>
      </c>
    </row>
    <row r="15" spans="1:7" ht="9.75">
      <c r="A15" s="20">
        <f>A14+1</f>
        <v>4</v>
      </c>
      <c r="B15" s="1" t="s">
        <v>128</v>
      </c>
      <c r="C15" s="12">
        <f>C14*Inputs!$C$8</f>
        <v>23432226.50760827</v>
      </c>
      <c r="D15" s="13">
        <f>D14*Inputs!$C$8</f>
        <v>2289616.7516099853</v>
      </c>
      <c r="E15" s="13">
        <f>E14*Inputs!$C$8</f>
        <v>11685824.11485609</v>
      </c>
      <c r="F15" s="13">
        <f>F14*Inputs!$C$8</f>
        <v>12529897.752105225</v>
      </c>
      <c r="G15" s="13">
        <f>SUM(C15:F15)</f>
        <v>49937565.12617956</v>
      </c>
    </row>
    <row r="16" spans="1:7" ht="9.75">
      <c r="A16" s="20">
        <f>A15+1</f>
        <v>5</v>
      </c>
      <c r="B16" s="1" t="s">
        <v>62</v>
      </c>
      <c r="C16" s="12">
        <f>C15+C23</f>
        <v>26056635.876460396</v>
      </c>
      <c r="D16" s="13">
        <f>D15+D23</f>
        <v>2546053.8277903036</v>
      </c>
      <c r="E16" s="13">
        <f>E15+E23</f>
        <v>12994636.415719973</v>
      </c>
      <c r="F16" s="13">
        <f>F15+F23</f>
        <v>13933246.30034101</v>
      </c>
      <c r="G16" s="13">
        <f>SUM(C16:F16)</f>
        <v>55530572.42031168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9372890.603043308</v>
      </c>
      <c r="D19" s="13">
        <f>D14*Inputs!$C$16</f>
        <v>915846.7006439941</v>
      </c>
      <c r="E19" s="13">
        <f>E14*Inputs!$C$16</f>
        <v>4674329.6459424365</v>
      </c>
      <c r="F19" s="13">
        <f>F14*Inputs!$C$16</f>
        <v>5011959.10084209</v>
      </c>
      <c r="G19" s="13">
        <f>SUM(C19:F19)</f>
        <v>19975026.050471827</v>
      </c>
    </row>
    <row r="20" spans="1:7" ht="9.75">
      <c r="A20" s="20">
        <f>A19+1</f>
        <v>7</v>
      </c>
      <c r="B20" s="1" t="s">
        <v>5</v>
      </c>
      <c r="C20" s="12">
        <f>C19*Inputs!$C$8</f>
        <v>9372890.603043308</v>
      </c>
      <c r="D20" s="13">
        <f>D19*Inputs!$C$8</f>
        <v>915846.7006439941</v>
      </c>
      <c r="E20" s="13">
        <f>E19*Inputs!$C$8</f>
        <v>4674329.6459424365</v>
      </c>
      <c r="F20" s="13">
        <f>F19*Inputs!$C$8</f>
        <v>5011959.10084209</v>
      </c>
      <c r="G20" s="13">
        <f>SUM(C20:F20)</f>
        <v>19975026.050471827</v>
      </c>
    </row>
    <row r="21" spans="1:7" ht="9.75">
      <c r="A21" s="20">
        <f>A20+1</f>
        <v>8</v>
      </c>
      <c r="B21" s="1" t="s">
        <v>62</v>
      </c>
      <c r="C21" s="12">
        <f>C20*(1+Inputs!$C$18)</f>
        <v>11997299.971895436</v>
      </c>
      <c r="D21" s="12">
        <f>D20*(1+Inputs!$C$18)</f>
        <v>1172283.7768243125</v>
      </c>
      <c r="E21" s="12">
        <f>E20*(1+Inputs!$C$18)</f>
        <v>5983141.946806319</v>
      </c>
      <c r="F21" s="12">
        <f>F20*(1+Inputs!$C$18)</f>
        <v>6415307.649077876</v>
      </c>
      <c r="G21" s="13">
        <f>SUM(C21:F21)</f>
        <v>25568033.34460394</v>
      </c>
    </row>
    <row r="22" spans="1:7" ht="9.75">
      <c r="A22" s="20">
        <f>A21+1</f>
        <v>9</v>
      </c>
      <c r="B22" s="1" t="s">
        <v>12</v>
      </c>
      <c r="C22" s="12">
        <f>C21-C19</f>
        <v>2624409.3688521273</v>
      </c>
      <c r="D22" s="13">
        <f>D21-D19</f>
        <v>256437.07618031837</v>
      </c>
      <c r="E22" s="13">
        <f>E21-E19</f>
        <v>1308812.3008638825</v>
      </c>
      <c r="F22" s="13">
        <f>F21-F19</f>
        <v>1403348.5482357852</v>
      </c>
      <c r="G22" s="13">
        <f>SUM(C22:F22)</f>
        <v>5593007.294132113</v>
      </c>
    </row>
    <row r="23" spans="1:7" ht="9.75">
      <c r="A23" s="20">
        <f>A22+1</f>
        <v>10</v>
      </c>
      <c r="B23" s="47" t="s">
        <v>8</v>
      </c>
      <c r="C23" s="50">
        <f>C21-C20</f>
        <v>2624409.3688521273</v>
      </c>
      <c r="D23" s="51">
        <f>D21-D20</f>
        <v>256437.07618031837</v>
      </c>
      <c r="E23" s="51">
        <f>E21-E20</f>
        <v>1308812.3008638825</v>
      </c>
      <c r="F23" s="51">
        <f>F21-F20</f>
        <v>1403348.5482357852</v>
      </c>
      <c r="G23" s="51">
        <f>SUM(C23:F23)</f>
        <v>5593007.294132113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1452871.3280005115</v>
      </c>
      <c r="D28" s="8">
        <f>D21*(D29/D23)</f>
        <v>141963.3993996994</v>
      </c>
      <c r="E28" s="8">
        <f>E21*(E29/E23)</f>
        <v>724557.6426558844</v>
      </c>
      <c r="F28" s="8">
        <f>F21*(F29/F23)</f>
        <v>776892.8480142906</v>
      </c>
      <c r="G28" s="13">
        <f>SUM(C28:F28)</f>
        <v>3096285.218070386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317815.603000112</v>
      </c>
      <c r="D29" s="8">
        <f>VLOOKUP($B$4,Inputs!$B$55:$C$82,2,FALSE)*D23</f>
        <v>31054.49361868425</v>
      </c>
      <c r="E29" s="8">
        <f>VLOOKUP($B$4,Inputs!$B$55:$C$82,2,FALSE)*E23</f>
        <v>158496.98433097472</v>
      </c>
      <c r="F29" s="8">
        <f>VLOOKUP($B$4,Inputs!$B$55:$C$82,2,FALSE)*F23</f>
        <v>169945.31050312606</v>
      </c>
      <c r="G29" s="8">
        <f>SUM(C29:F29)</f>
        <v>677312.3914528971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95344.68090003359</v>
      </c>
      <c r="D30" s="49">
        <f>VLOOKUP($B$4,Inputs!$B$21:$C$49,2,FALSE)*D29</f>
        <v>9316.348085605274</v>
      </c>
      <c r="E30" s="49">
        <f>VLOOKUP($B$4,Inputs!$B$21:$C$49,2,FALSE)*E29</f>
        <v>47549.095299292414</v>
      </c>
      <c r="F30" s="49">
        <f>VLOOKUP($B$4,Inputs!$B$21:$C$49,2,FALSE)*F29</f>
        <v>50983.59315093782</v>
      </c>
      <c r="G30" s="49">
        <f>SUM(C30:F30)</f>
        <v>203193.7174358691</v>
      </c>
    </row>
    <row r="31" spans="1:7" ht="9.75">
      <c r="A31" s="20">
        <f>A30+1</f>
        <v>14</v>
      </c>
      <c r="B31" s="1" t="s">
        <v>43</v>
      </c>
      <c r="C31" s="10">
        <f>C29-C30</f>
        <v>222470.9221000784</v>
      </c>
      <c r="D31" s="8">
        <f>D29-D30</f>
        <v>21738.145533078976</v>
      </c>
      <c r="E31" s="8">
        <f>E29-E30</f>
        <v>110947.88903168231</v>
      </c>
      <c r="F31" s="8">
        <f>F29-F30</f>
        <v>118961.71735218825</v>
      </c>
      <c r="G31" s="8">
        <f>SUM(C31:F31)</f>
        <v>474118.6740170279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401720.0739329535</v>
      </c>
      <c r="D36" s="8">
        <f>D23*VLOOKUP($B$4,Inputs!$B$86:$C$113,2,FALSE)</f>
        <v>39252.9924732609</v>
      </c>
      <c r="E36" s="8">
        <f>E23*VLOOKUP($B$4,Inputs!$B$86:$C$113,2,FALSE)</f>
        <v>200340.76257598624</v>
      </c>
      <c r="F36" s="8">
        <f>F23*VLOOKUP($B$4,Inputs!$B$86:$C$113,2,FALSE)</f>
        <v>214811.48834549348</v>
      </c>
      <c r="G36" s="8">
        <f>G23*VLOOKUP($B$4,Inputs!$B$86:$C$113,2,FALSE)</f>
        <v>856125.3173276942</v>
      </c>
    </row>
    <row r="37" spans="1:7" ht="9.75">
      <c r="A37" s="20">
        <f>A36+1</f>
        <v>16</v>
      </c>
      <c r="B37" s="1" t="s">
        <v>10</v>
      </c>
      <c r="C37" s="10">
        <f>C31-C36</f>
        <v>-179249.15183287513</v>
      </c>
      <c r="D37" s="10">
        <f>D31-D36</f>
        <v>-17514.846940181924</v>
      </c>
      <c r="E37" s="10">
        <f>E31-E36</f>
        <v>-89392.87354430393</v>
      </c>
      <c r="F37" s="10">
        <f>F31-F36</f>
        <v>-95849.77099330522</v>
      </c>
      <c r="G37" s="8">
        <f>G31-G36</f>
        <v>-382006.64331066626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82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NP HD Letters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NP HD Letters FY23</v>
      </c>
      <c r="C12" s="63">
        <f>VLOOKUP($B$4,'RPW Vol and Rev'!$B$8:$H$43,MATCH('Reg Letters'!C$8,'RPW Vol and Rev'!$B$8:$H$8,FALSE),FALSE)</f>
        <v>90200534</v>
      </c>
      <c r="D12" s="21">
        <f>VLOOKUP($B$4,'RPW Vol and Rev'!$K$8:$P$43,MATCH('Reg Letters'!D$8,'RPW Vol and Rev'!$K$8:$P$8,FALSE),FALSE)</f>
        <v>8827160</v>
      </c>
      <c r="E12" s="22">
        <f>VLOOKUP($B$4,'RPW Vol and Rev'!$K$8:$P$43,MATCH('Reg Letters'!E$8,'RPW Vol and Rev'!$K$8:$P$8,FALSE),FALSE)</f>
        <v>14745079.436300946</v>
      </c>
      <c r="F12" s="22">
        <f>VLOOKUP($B$4,'RPW Vol and Rev'!$K$8:$P$43,MATCH('Reg Letters'!F$8,'RPW Vol and Rev'!$K$8:$P$8,FALSE),FALSE)</f>
        <v>23145874.645576205</v>
      </c>
      <c r="G12" s="13">
        <f>SUM(C12:F12)</f>
        <v>136918648.08187714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NP HD Letters FY23</v>
      </c>
      <c r="C13" s="12">
        <f>C12*Inputs!$C$14</f>
        <v>75647534.69776869</v>
      </c>
      <c r="D13" s="13">
        <f>D12*Inputs!$C$14</f>
        <v>7402981.587478804</v>
      </c>
      <c r="E13" s="13">
        <f>E12*Inputs!$C$14</f>
        <v>12366100.939922722</v>
      </c>
      <c r="F13" s="13">
        <f>F12*Inputs!$C$14</f>
        <v>19411507.645414058</v>
      </c>
      <c r="G13" s="13">
        <f>SUM(C13:F13)</f>
        <v>114828124.87058426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NP HD Letters FY23</v>
      </c>
      <c r="C14" s="12">
        <f>C13*Inputs!$C$15</f>
        <v>37823767.348884344</v>
      </c>
      <c r="D14" s="13">
        <f>D13*Inputs!$C$15</f>
        <v>3701490.793739402</v>
      </c>
      <c r="E14" s="13">
        <f>E13*Inputs!$C$15</f>
        <v>6183050.469961361</v>
      </c>
      <c r="F14" s="13">
        <f>F13*Inputs!$C$15</f>
        <v>9705753.822707029</v>
      </c>
      <c r="G14" s="13">
        <f>SUM(C14:F14)</f>
        <v>57414062.43529213</v>
      </c>
    </row>
    <row r="15" spans="1:7" ht="9.75">
      <c r="A15" s="20">
        <f>A14+1</f>
        <v>4</v>
      </c>
      <c r="B15" s="1" t="s">
        <v>128</v>
      </c>
      <c r="C15" s="12">
        <f>C14*Inputs!$C$8</f>
        <v>37823767.348884344</v>
      </c>
      <c r="D15" s="13">
        <f>D14*Inputs!$C$8</f>
        <v>3701490.793739402</v>
      </c>
      <c r="E15" s="13">
        <f>E14*Inputs!$C$8</f>
        <v>6183050.469961361</v>
      </c>
      <c r="F15" s="13">
        <f>F14*Inputs!$C$8</f>
        <v>9705753.822707029</v>
      </c>
      <c r="G15" s="13">
        <f>SUM(C15:F15)</f>
        <v>57414062.43529213</v>
      </c>
    </row>
    <row r="16" spans="1:7" ht="9.75">
      <c r="A16" s="20">
        <f>A15+1</f>
        <v>5</v>
      </c>
      <c r="B16" s="1" t="s">
        <v>62</v>
      </c>
      <c r="C16" s="12">
        <f>C15+C23</f>
        <v>42060029.29195939</v>
      </c>
      <c r="D16" s="13">
        <f>D15+D23</f>
        <v>4116057.762638215</v>
      </c>
      <c r="E16" s="13">
        <f>E15+E23</f>
        <v>6875552.122597033</v>
      </c>
      <c r="F16" s="13">
        <f>F15+F23</f>
        <v>10792798.250850217</v>
      </c>
      <c r="G16" s="13">
        <f>SUM(C16:F16)</f>
        <v>63844437.42804485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15129506.939553738</v>
      </c>
      <c r="D19" s="13">
        <f>D14*Inputs!$C$16</f>
        <v>1480596.317495761</v>
      </c>
      <c r="E19" s="13">
        <f>E14*Inputs!$C$16</f>
        <v>2473220.1879845443</v>
      </c>
      <c r="F19" s="13">
        <f>F14*Inputs!$C$16</f>
        <v>3882301.529082812</v>
      </c>
      <c r="G19" s="13">
        <f>SUM(C19:F19)</f>
        <v>22965624.974116854</v>
      </c>
    </row>
    <row r="20" spans="1:7" ht="9.75">
      <c r="A20" s="20">
        <f>A19+1</f>
        <v>7</v>
      </c>
      <c r="B20" s="1" t="s">
        <v>5</v>
      </c>
      <c r="C20" s="12">
        <f>C19*Inputs!$C$8</f>
        <v>15129506.939553738</v>
      </c>
      <c r="D20" s="13">
        <f>D19*Inputs!$C$8</f>
        <v>1480596.317495761</v>
      </c>
      <c r="E20" s="13">
        <f>E19*Inputs!$C$8</f>
        <v>2473220.1879845443</v>
      </c>
      <c r="F20" s="13">
        <f>F19*Inputs!$C$8</f>
        <v>3882301.529082812</v>
      </c>
      <c r="G20" s="13">
        <f>SUM(C20:F20)</f>
        <v>22965624.974116854</v>
      </c>
    </row>
    <row r="21" spans="1:7" ht="9.75">
      <c r="A21" s="20">
        <f>A20+1</f>
        <v>8</v>
      </c>
      <c r="B21" s="1" t="s">
        <v>62</v>
      </c>
      <c r="C21" s="12">
        <f>C20*(1+Inputs!$C$18)</f>
        <v>19365768.882628784</v>
      </c>
      <c r="D21" s="12">
        <f>D20*(1+Inputs!$C$18)</f>
        <v>1895163.286394574</v>
      </c>
      <c r="E21" s="12">
        <f>E20*(1+Inputs!$C$18)</f>
        <v>3165721.840620217</v>
      </c>
      <c r="F21" s="12">
        <f>F20*(1+Inputs!$C$18)</f>
        <v>4969345.957226</v>
      </c>
      <c r="G21" s="13">
        <f>SUM(C21:F21)</f>
        <v>29395999.966869574</v>
      </c>
    </row>
    <row r="22" spans="1:7" ht="9.75">
      <c r="A22" s="20">
        <f>A21+1</f>
        <v>9</v>
      </c>
      <c r="B22" s="1" t="s">
        <v>12</v>
      </c>
      <c r="C22" s="12">
        <f>C21-C19</f>
        <v>4236261.943075046</v>
      </c>
      <c r="D22" s="13">
        <f>D21-D19</f>
        <v>414566.968898813</v>
      </c>
      <c r="E22" s="13">
        <f>E21-E19</f>
        <v>692501.6526356726</v>
      </c>
      <c r="F22" s="13">
        <f>F21-F19</f>
        <v>1087044.428143188</v>
      </c>
      <c r="G22" s="13">
        <f>SUM(C22:F22)</f>
        <v>6430374.99275272</v>
      </c>
    </row>
    <row r="23" spans="1:7" ht="9.75">
      <c r="A23" s="20">
        <f>A22+1</f>
        <v>10</v>
      </c>
      <c r="B23" s="47" t="s">
        <v>8</v>
      </c>
      <c r="C23" s="50">
        <f>C21-C20</f>
        <v>4236261.943075046</v>
      </c>
      <c r="D23" s="51">
        <f>D21-D20</f>
        <v>414566.968898813</v>
      </c>
      <c r="E23" s="51">
        <f>E21-E20</f>
        <v>692501.6526356726</v>
      </c>
      <c r="F23" s="51">
        <f>F21-F20</f>
        <v>1087044.428143188</v>
      </c>
      <c r="G23" s="51">
        <f>SUM(C23:F23)</f>
        <v>6430374.99275272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2494884.044770091</v>
      </c>
      <c r="D28" s="8">
        <f>D21*(D29/D23)</f>
        <v>244153.10717154687</v>
      </c>
      <c r="E28" s="8">
        <f>E21*(E29/E23)</f>
        <v>407838.6434441153</v>
      </c>
      <c r="F28" s="8">
        <f>F21*(F29/F23)</f>
        <v>640198.7969993246</v>
      </c>
      <c r="G28" s="13">
        <f>SUM(C28:F28)</f>
        <v>3787074.5923850774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545755.8847934573</v>
      </c>
      <c r="D29" s="8">
        <f>VLOOKUP($B$4,Inputs!$B$55:$C$82,2,FALSE)*D23</f>
        <v>53408.49219377587</v>
      </c>
      <c r="E29" s="8">
        <f>VLOOKUP($B$4,Inputs!$B$55:$C$82,2,FALSE)*E23</f>
        <v>89214.70325340025</v>
      </c>
      <c r="F29" s="8">
        <f>VLOOKUP($B$4,Inputs!$B$55:$C$82,2,FALSE)*F23</f>
        <v>140043.4868436023</v>
      </c>
      <c r="G29" s="8">
        <f>SUM(C29:F29)</f>
        <v>828422.5670842357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163726.7654380372</v>
      </c>
      <c r="D30" s="49">
        <f>VLOOKUP($B$4,Inputs!$B$21:$C$49,2,FALSE)*D29</f>
        <v>16022.54765813276</v>
      </c>
      <c r="E30" s="49">
        <f>VLOOKUP($B$4,Inputs!$B$21:$C$49,2,FALSE)*E29</f>
        <v>26764.410976020074</v>
      </c>
      <c r="F30" s="49">
        <f>VLOOKUP($B$4,Inputs!$B$21:$C$49,2,FALSE)*F29</f>
        <v>42013.04605308069</v>
      </c>
      <c r="G30" s="49">
        <f>SUM(C30:F30)</f>
        <v>248526.7701252707</v>
      </c>
    </row>
    <row r="31" spans="1:7" ht="9.75">
      <c r="A31" s="20">
        <f>A30+1</f>
        <v>14</v>
      </c>
      <c r="B31" s="1" t="s">
        <v>43</v>
      </c>
      <c r="C31" s="10">
        <f>C29-C30</f>
        <v>382029.1193554201</v>
      </c>
      <c r="D31" s="8">
        <f>D29-D30</f>
        <v>37385.94453564311</v>
      </c>
      <c r="E31" s="8">
        <f>E29-E30</f>
        <v>62450.29227738018</v>
      </c>
      <c r="F31" s="8">
        <f>F29-F30</f>
        <v>98030.4407905216</v>
      </c>
      <c r="G31" s="8">
        <f>SUM(C31:F31)</f>
        <v>579895.796958965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426647.46037171024</v>
      </c>
      <c r="D36" s="8">
        <f>D23*VLOOKUP($B$4,Inputs!$B$86:$C$113,2,FALSE)</f>
        <v>41752.362533626976</v>
      </c>
      <c r="E36" s="8">
        <f>E23*VLOOKUP($B$4,Inputs!$B$86:$C$113,2,FALSE)</f>
        <v>69744.05156489351</v>
      </c>
      <c r="F36" s="8">
        <f>F23*VLOOKUP($B$4,Inputs!$B$86:$C$113,2,FALSE)</f>
        <v>109479.71367461146</v>
      </c>
      <c r="G36" s="8">
        <f>G23*VLOOKUP($B$4,Inputs!$B$86:$C$113,2,FALSE)</f>
        <v>647623.5881448422</v>
      </c>
    </row>
    <row r="37" spans="1:7" ht="9.75">
      <c r="A37" s="20">
        <f>A36+1</f>
        <v>16</v>
      </c>
      <c r="B37" s="1" t="s">
        <v>10</v>
      </c>
      <c r="C37" s="10">
        <f>C31-C36</f>
        <v>-44618.34101629013</v>
      </c>
      <c r="D37" s="10">
        <f>D31-D36</f>
        <v>-4366.417997983866</v>
      </c>
      <c r="E37" s="10">
        <f>E31-E36</f>
        <v>-7293.759287513334</v>
      </c>
      <c r="F37" s="10">
        <f>F31-F36</f>
        <v>-11449.272884089849</v>
      </c>
      <c r="G37" s="8">
        <f>G31-G36</f>
        <v>-67727.79118587717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83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NP HD Flats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NP HD Flats FY23</v>
      </c>
      <c r="C12" s="63">
        <f>VLOOKUP($B$4,'RPW Vol and Rev'!$B$8:$H$43,MATCH('Reg Letters'!C$8,'RPW Vol and Rev'!$B$8:$H$8,FALSE),FALSE)</f>
        <v>120544075</v>
      </c>
      <c r="D12" s="21">
        <f>VLOOKUP($B$4,'RPW Vol and Rev'!$K$8:$P$43,MATCH('Reg Letters'!D$8,'RPW Vol and Rev'!$K$8:$P$8,FALSE),FALSE)</f>
        <v>5635733</v>
      </c>
      <c r="E12" s="22">
        <f>VLOOKUP($B$4,'RPW Vol and Rev'!$K$8:$P$43,MATCH('Reg Letters'!E$8,'RPW Vol and Rev'!$K$8:$P$8,FALSE),FALSE)</f>
        <v>13765250.870161172</v>
      </c>
      <c r="F12" s="22">
        <f>VLOOKUP($B$4,'RPW Vol and Rev'!$K$8:$P$43,MATCH('Reg Letters'!F$8,'RPW Vol and Rev'!$K$8:$P$8,FALSE),FALSE)</f>
        <v>53388153.84905778</v>
      </c>
      <c r="G12" s="13">
        <f>SUM(C12:F12)</f>
        <v>193333212.71921897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NP HD Flats FY23</v>
      </c>
      <c r="C13" s="12">
        <f>C12*Inputs!$C$14</f>
        <v>101095433.60544774</v>
      </c>
      <c r="D13" s="13">
        <f>D12*Inputs!$C$14</f>
        <v>4726461.017014157</v>
      </c>
      <c r="E13" s="13">
        <f>E12*Inputs!$C$14</f>
        <v>11544358.405062301</v>
      </c>
      <c r="F13" s="13">
        <f>F12*Inputs!$C$14</f>
        <v>44774482.385507956</v>
      </c>
      <c r="G13" s="13">
        <f>SUM(C13:F13)</f>
        <v>162140735.41303217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NP HD Flats FY23</v>
      </c>
      <c r="C14" s="12">
        <f>C13*Inputs!$C$15</f>
        <v>50547716.80272387</v>
      </c>
      <c r="D14" s="13">
        <f>D13*Inputs!$C$15</f>
        <v>2363230.5085070785</v>
      </c>
      <c r="E14" s="13">
        <f>E13*Inputs!$C$15</f>
        <v>5772179.202531151</v>
      </c>
      <c r="F14" s="13">
        <f>F13*Inputs!$C$15</f>
        <v>22387241.192753978</v>
      </c>
      <c r="G14" s="13">
        <f>SUM(C14:F14)</f>
        <v>81070367.70651609</v>
      </c>
    </row>
    <row r="15" spans="1:7" ht="9.75">
      <c r="A15" s="20">
        <f>A14+1</f>
        <v>4</v>
      </c>
      <c r="B15" s="1" t="s">
        <v>128</v>
      </c>
      <c r="C15" s="12">
        <f>C14*Inputs!$C$8</f>
        <v>50547716.80272387</v>
      </c>
      <c r="D15" s="13">
        <f>D14*Inputs!$C$8</f>
        <v>2363230.5085070785</v>
      </c>
      <c r="E15" s="13">
        <f>E14*Inputs!$C$8</f>
        <v>5772179.202531151</v>
      </c>
      <c r="F15" s="13">
        <f>F14*Inputs!$C$8</f>
        <v>22387241.192753978</v>
      </c>
      <c r="G15" s="13">
        <f>SUM(C15:F15)</f>
        <v>81070367.70651609</v>
      </c>
    </row>
    <row r="16" spans="1:7" ht="9.75">
      <c r="A16" s="20">
        <f>A15+1</f>
        <v>5</v>
      </c>
      <c r="B16" s="1" t="s">
        <v>62</v>
      </c>
      <c r="C16" s="12">
        <f>C15+C23</f>
        <v>56209061.08462894</v>
      </c>
      <c r="D16" s="13">
        <f>D15+D23</f>
        <v>2627912.3254598714</v>
      </c>
      <c r="E16" s="13">
        <f>E15+E23</f>
        <v>6418663.27321464</v>
      </c>
      <c r="F16" s="13">
        <f>F15+F23</f>
        <v>24894612.20634242</v>
      </c>
      <c r="G16" s="13">
        <f>SUM(C16:F16)</f>
        <v>90150248.88964587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20219086.72108955</v>
      </c>
      <c r="D19" s="13">
        <f>D14*Inputs!$C$16</f>
        <v>945292.2034028315</v>
      </c>
      <c r="E19" s="13">
        <f>E14*Inputs!$C$16</f>
        <v>2308871.6810124605</v>
      </c>
      <c r="F19" s="13">
        <f>F14*Inputs!$C$16</f>
        <v>8954896.477101592</v>
      </c>
      <c r="G19" s="13">
        <f>SUM(C19:F19)</f>
        <v>32428147.082606435</v>
      </c>
    </row>
    <row r="20" spans="1:7" ht="9.75">
      <c r="A20" s="20">
        <f>A19+1</f>
        <v>7</v>
      </c>
      <c r="B20" s="1" t="s">
        <v>5</v>
      </c>
      <c r="C20" s="12">
        <f>C19*Inputs!$C$8</f>
        <v>20219086.72108955</v>
      </c>
      <c r="D20" s="13">
        <f>D19*Inputs!$C$8</f>
        <v>945292.2034028315</v>
      </c>
      <c r="E20" s="13">
        <f>E19*Inputs!$C$8</f>
        <v>2308871.6810124605</v>
      </c>
      <c r="F20" s="13">
        <f>F19*Inputs!$C$8</f>
        <v>8954896.477101592</v>
      </c>
      <c r="G20" s="13">
        <f>SUM(C20:F20)</f>
        <v>32428147.082606435</v>
      </c>
    </row>
    <row r="21" spans="1:7" ht="9.75">
      <c r="A21" s="20">
        <f>A20+1</f>
        <v>8</v>
      </c>
      <c r="B21" s="1" t="s">
        <v>62</v>
      </c>
      <c r="C21" s="12">
        <f>C20*(1+Inputs!$C$18)</f>
        <v>25880431.002994623</v>
      </c>
      <c r="D21" s="12">
        <f>D20*(1+Inputs!$C$18)</f>
        <v>1209974.0203556244</v>
      </c>
      <c r="E21" s="12">
        <f>E20*(1+Inputs!$C$18)</f>
        <v>2955355.7516959496</v>
      </c>
      <c r="F21" s="12">
        <f>F20*(1+Inputs!$C$18)</f>
        <v>11462267.490690038</v>
      </c>
      <c r="G21" s="13">
        <f>SUM(C21:F21)</f>
        <v>41508028.26573624</v>
      </c>
    </row>
    <row r="22" spans="1:7" ht="9.75">
      <c r="A22" s="20">
        <f>A21+1</f>
        <v>9</v>
      </c>
      <c r="B22" s="1" t="s">
        <v>12</v>
      </c>
      <c r="C22" s="12">
        <f>C21-C19</f>
        <v>5661344.281905074</v>
      </c>
      <c r="D22" s="13">
        <f>D21-D19</f>
        <v>264681.8169527929</v>
      </c>
      <c r="E22" s="13">
        <f>E21-E19</f>
        <v>646484.0706834891</v>
      </c>
      <c r="F22" s="13">
        <f>F21-F19</f>
        <v>2507371.0135884453</v>
      </c>
      <c r="G22" s="13">
        <f>SUM(C22:F22)</f>
        <v>9079881.1831298</v>
      </c>
    </row>
    <row r="23" spans="1:7" ht="9.75">
      <c r="A23" s="20">
        <f>A22+1</f>
        <v>10</v>
      </c>
      <c r="B23" s="47" t="s">
        <v>8</v>
      </c>
      <c r="C23" s="50">
        <f>C21-C20</f>
        <v>5661344.281905074</v>
      </c>
      <c r="D23" s="51">
        <f>D21-D20</f>
        <v>264681.8169527929</v>
      </c>
      <c r="E23" s="51">
        <f>E21-E20</f>
        <v>646484.0706834891</v>
      </c>
      <c r="F23" s="51">
        <f>F21-F20</f>
        <v>2507371.0135884453</v>
      </c>
      <c r="G23" s="51">
        <f>SUM(C23:F23)</f>
        <v>9079881.1831298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4485927.820705621</v>
      </c>
      <c r="D28" s="8">
        <f>D21*(D29/D23)</f>
        <v>209728.19655191476</v>
      </c>
      <c r="E28" s="8">
        <f>E21*(E29/E23)</f>
        <v>512260.1159571573</v>
      </c>
      <c r="F28" s="8">
        <f>F21*(F29/F23)</f>
        <v>1986787.0291227517</v>
      </c>
      <c r="G28" s="13">
        <f>SUM(C28:F28)</f>
        <v>7194703.162337445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981296.7107793546</v>
      </c>
      <c r="D29" s="8">
        <f>VLOOKUP($B$4,Inputs!$B$55:$C$82,2,FALSE)*D23</f>
        <v>45878.04299573137</v>
      </c>
      <c r="E29" s="8">
        <f>VLOOKUP($B$4,Inputs!$B$55:$C$82,2,FALSE)*E23</f>
        <v>112056.90036562817</v>
      </c>
      <c r="F29" s="8">
        <f>VLOOKUP($B$4,Inputs!$B$55:$C$82,2,FALSE)*F23</f>
        <v>434609.6626206019</v>
      </c>
      <c r="G29" s="8">
        <f>SUM(C29:F29)</f>
        <v>1573841.316761316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294389.01323380636</v>
      </c>
      <c r="D30" s="49">
        <f>VLOOKUP($B$4,Inputs!$B$21:$C$49,2,FALSE)*D29</f>
        <v>13763.41289871941</v>
      </c>
      <c r="E30" s="49">
        <f>VLOOKUP($B$4,Inputs!$B$21:$C$49,2,FALSE)*E29</f>
        <v>33617.07010968845</v>
      </c>
      <c r="F30" s="49">
        <f>VLOOKUP($B$4,Inputs!$B$21:$C$49,2,FALSE)*F29</f>
        <v>130382.89878618057</v>
      </c>
      <c r="G30" s="49">
        <f>SUM(C30:F30)</f>
        <v>472152.39502839476</v>
      </c>
    </row>
    <row r="31" spans="1:7" ht="9.75">
      <c r="A31" s="20">
        <f>A30+1</f>
        <v>14</v>
      </c>
      <c r="B31" s="1" t="s">
        <v>43</v>
      </c>
      <c r="C31" s="10">
        <f>C29-C30</f>
        <v>686907.6975455482</v>
      </c>
      <c r="D31" s="8">
        <f>D29-D30</f>
        <v>32114.630097011956</v>
      </c>
      <c r="E31" s="8">
        <f>E29-E30</f>
        <v>78439.83025593971</v>
      </c>
      <c r="F31" s="8">
        <f>F29-F30</f>
        <v>304226.7638344213</v>
      </c>
      <c r="G31" s="8">
        <f>SUM(C31:F31)</f>
        <v>1101688.9217329212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866585.7051415496</v>
      </c>
      <c r="D36" s="8">
        <f>D23*VLOOKUP($B$4,Inputs!$B$86:$C$113,2,FALSE)</f>
        <v>40515.020383992356</v>
      </c>
      <c r="E36" s="8">
        <f>E23*VLOOKUP($B$4,Inputs!$B$86:$C$113,2,FALSE)</f>
        <v>98957.74331313216</v>
      </c>
      <c r="F36" s="8">
        <f>F23*VLOOKUP($B$4,Inputs!$B$86:$C$113,2,FALSE)</f>
        <v>383804.93565935333</v>
      </c>
      <c r="G36" s="8">
        <f>G23*VLOOKUP($B$4,Inputs!$B$86:$C$113,2,FALSE)</f>
        <v>1389863.4044980274</v>
      </c>
    </row>
    <row r="37" spans="1:7" ht="9.75">
      <c r="A37" s="20">
        <f>A36+1</f>
        <v>16</v>
      </c>
      <c r="B37" s="1" t="s">
        <v>10</v>
      </c>
      <c r="C37" s="10">
        <f>C31-C36</f>
        <v>-179678.00759600138</v>
      </c>
      <c r="D37" s="10">
        <f>D31-D36</f>
        <v>-8400.3902869804</v>
      </c>
      <c r="E37" s="10">
        <f>E31-E36</f>
        <v>-20517.913057192447</v>
      </c>
      <c r="F37" s="10">
        <f>F31-F36</f>
        <v>-79578.17182493204</v>
      </c>
      <c r="G37" s="8">
        <f>G31-G36</f>
        <v>-288174.48276510625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86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NP Parcels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NP Parcels FY23</v>
      </c>
      <c r="C12" s="63">
        <f>VLOOKUP($B$4,'RPW Vol and Rev'!$B$8:$H$43,MATCH('Reg Letters'!C$8,'RPW Vol and Rev'!$B$8:$H$8,FALSE),FALSE)</f>
        <v>2978210</v>
      </c>
      <c r="D12" s="21">
        <f>VLOOKUP($B$4,'RPW Vol and Rev'!$K$8:$P$43,MATCH('Reg Letters'!D$8,'RPW Vol and Rev'!$K$8:$P$8,FALSE),FALSE)</f>
        <v>3287084</v>
      </c>
      <c r="E12" s="22">
        <f>VLOOKUP($B$4,'RPW Vol and Rev'!$K$8:$P$43,MATCH('Reg Letters'!E$8,'RPW Vol and Rev'!$K$8:$P$8,FALSE),FALSE)</f>
        <v>2259217.135246518</v>
      </c>
      <c r="F12" s="22">
        <f>VLOOKUP($B$4,'RPW Vol and Rev'!$K$8:$P$43,MATCH('Reg Letters'!F$8,'RPW Vol and Rev'!$K$8:$P$8,FALSE),FALSE)</f>
        <v>1978255.1605552447</v>
      </c>
      <c r="G12" s="13">
        <f>SUM(C12:F12)</f>
        <v>10502766.295801764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NP Parcels FY23</v>
      </c>
      <c r="C13" s="12">
        <f>C12*Inputs!$C$14</f>
        <v>2497704.1079628384</v>
      </c>
      <c r="D13" s="13">
        <f>D12*Inputs!$C$14</f>
        <v>2756744.222206936</v>
      </c>
      <c r="E13" s="13">
        <f>E12*Inputs!$C$14</f>
        <v>1894713.9118750067</v>
      </c>
      <c r="F13" s="13">
        <f>F12*Inputs!$C$14</f>
        <v>1659082.4828059538</v>
      </c>
      <c r="G13" s="13">
        <f>SUM(C13:F13)</f>
        <v>8808244.724850735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NP Parcels FY23</v>
      </c>
      <c r="C14" s="12">
        <f>C13*Inputs!$C$15</f>
        <v>1248852.0539814192</v>
      </c>
      <c r="D14" s="13">
        <f>D13*Inputs!$C$15</f>
        <v>1378372.111103468</v>
      </c>
      <c r="E14" s="13">
        <f>E13*Inputs!$C$15</f>
        <v>947356.9559375034</v>
      </c>
      <c r="F14" s="13">
        <f>F13*Inputs!$C$15</f>
        <v>829541.2414029769</v>
      </c>
      <c r="G14" s="13">
        <f>SUM(C14:F14)</f>
        <v>4404122.362425367</v>
      </c>
    </row>
    <row r="15" spans="1:7" ht="9.75">
      <c r="A15" s="20">
        <f>A14+1</f>
        <v>4</v>
      </c>
      <c r="B15" s="1" t="s">
        <v>128</v>
      </c>
      <c r="C15" s="12">
        <f>C14*Inputs!$C$8</f>
        <v>1248852.0539814192</v>
      </c>
      <c r="D15" s="13">
        <f>D14*Inputs!$C$8</f>
        <v>1378372.111103468</v>
      </c>
      <c r="E15" s="13">
        <f>E14*Inputs!$C$8</f>
        <v>947356.9559375034</v>
      </c>
      <c r="F15" s="13">
        <f>F14*Inputs!$C$8</f>
        <v>829541.2414029769</v>
      </c>
      <c r="G15" s="13">
        <f>SUM(C15:F15)</f>
        <v>4404122.362425367</v>
      </c>
    </row>
    <row r="16" spans="1:7" ht="9.75">
      <c r="A16" s="20">
        <f>A15+1</f>
        <v>5</v>
      </c>
      <c r="B16" s="1" t="s">
        <v>62</v>
      </c>
      <c r="C16" s="12">
        <f>C15+C23</f>
        <v>1388723.4840273382</v>
      </c>
      <c r="D16" s="13">
        <f>D15+D23</f>
        <v>1532749.7875470566</v>
      </c>
      <c r="E16" s="13">
        <f>E15+E23</f>
        <v>1053460.9350025037</v>
      </c>
      <c r="F16" s="13">
        <f>F15+F23</f>
        <v>922449.8604401103</v>
      </c>
      <c r="G16" s="13">
        <f>SUM(C16:F16)</f>
        <v>4897384.0670170095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499540.8215925677</v>
      </c>
      <c r="D19" s="13">
        <f>D14*Inputs!$C$16</f>
        <v>551348.8444413872</v>
      </c>
      <c r="E19" s="13">
        <f>E14*Inputs!$C$16</f>
        <v>378942.78237500135</v>
      </c>
      <c r="F19" s="13">
        <f>F14*Inputs!$C$16</f>
        <v>331816.4965611908</v>
      </c>
      <c r="G19" s="13">
        <f>SUM(C19:F19)</f>
        <v>1761648.944970147</v>
      </c>
    </row>
    <row r="20" spans="1:7" ht="9.75">
      <c r="A20" s="20">
        <f>A19+1</f>
        <v>7</v>
      </c>
      <c r="B20" s="1" t="s">
        <v>5</v>
      </c>
      <c r="C20" s="12">
        <f>C19*Inputs!$C$8</f>
        <v>499540.8215925677</v>
      </c>
      <c r="D20" s="13">
        <f>D19*Inputs!$C$8</f>
        <v>551348.8444413872</v>
      </c>
      <c r="E20" s="13">
        <f>E19*Inputs!$C$8</f>
        <v>378942.78237500135</v>
      </c>
      <c r="F20" s="13">
        <f>F19*Inputs!$C$8</f>
        <v>331816.4965611908</v>
      </c>
      <c r="G20" s="13">
        <f>SUM(C20:F20)</f>
        <v>1761648.944970147</v>
      </c>
    </row>
    <row r="21" spans="1:7" ht="9.75">
      <c r="A21" s="20">
        <f>A20+1</f>
        <v>8</v>
      </c>
      <c r="B21" s="1" t="s">
        <v>62</v>
      </c>
      <c r="C21" s="12">
        <f>C20*(1+Inputs!$C$18)</f>
        <v>639412.2516384867</v>
      </c>
      <c r="D21" s="12">
        <f>D20*(1+Inputs!$C$18)</f>
        <v>705726.5208849757</v>
      </c>
      <c r="E21" s="12">
        <f>E20*(1+Inputs!$C$18)</f>
        <v>485046.7614400017</v>
      </c>
      <c r="F21" s="12">
        <f>F20*(1+Inputs!$C$18)</f>
        <v>424725.1155983242</v>
      </c>
      <c r="G21" s="13">
        <f>SUM(C21:F21)</f>
        <v>2254910.649561788</v>
      </c>
    </row>
    <row r="22" spans="1:7" ht="9.75">
      <c r="A22" s="20">
        <f>A21+1</f>
        <v>9</v>
      </c>
      <c r="B22" s="1" t="s">
        <v>12</v>
      </c>
      <c r="C22" s="12">
        <f>C21-C19</f>
        <v>139871.43004591903</v>
      </c>
      <c r="D22" s="13">
        <f>D21-D19</f>
        <v>154377.67644358845</v>
      </c>
      <c r="E22" s="13">
        <f>E21-E19</f>
        <v>106103.97906500037</v>
      </c>
      <c r="F22" s="13">
        <f>F21-F19</f>
        <v>92908.61903713341</v>
      </c>
      <c r="G22" s="13">
        <f>SUM(C22:F22)</f>
        <v>493261.70459164126</v>
      </c>
    </row>
    <row r="23" spans="1:7" ht="9.75">
      <c r="A23" s="20">
        <f>A22+1</f>
        <v>10</v>
      </c>
      <c r="B23" s="47" t="s">
        <v>8</v>
      </c>
      <c r="C23" s="50">
        <f>C21-C20</f>
        <v>139871.43004591903</v>
      </c>
      <c r="D23" s="51">
        <f>D21-D20</f>
        <v>154377.67644358845</v>
      </c>
      <c r="E23" s="51">
        <f>E21-E20</f>
        <v>106103.97906500037</v>
      </c>
      <c r="F23" s="51">
        <f>F21-F20</f>
        <v>92908.61903713341</v>
      </c>
      <c r="G23" s="51">
        <f>SUM(C23:F23)</f>
        <v>493261.70459164126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1526261.063010291</v>
      </c>
      <c r="D28" s="8">
        <f>D21*(D29/D23)</f>
        <v>1684551.566224047</v>
      </c>
      <c r="E28" s="8">
        <f>E21*(E29/E23)</f>
        <v>1157794.496161256</v>
      </c>
      <c r="F28" s="8">
        <f>F21*(F29/F23)</f>
        <v>1013808.2352334596</v>
      </c>
      <c r="G28" s="13">
        <f>SUM(C28:F28)</f>
        <v>5382415.360629054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333869.6075335013</v>
      </c>
      <c r="D29" s="8">
        <f>VLOOKUP($B$4,Inputs!$B$55:$C$82,2,FALSE)*D23</f>
        <v>368495.6551115103</v>
      </c>
      <c r="E29" s="8">
        <f>VLOOKUP($B$4,Inputs!$B$55:$C$82,2,FALSE)*E23</f>
        <v>253267.54603527475</v>
      </c>
      <c r="F29" s="8">
        <f>VLOOKUP($B$4,Inputs!$B$55:$C$82,2,FALSE)*F23</f>
        <v>221770.55145731926</v>
      </c>
      <c r="G29" s="8">
        <f>SUM(C29:F29)</f>
        <v>1177403.3601376056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100160.88226005038</v>
      </c>
      <c r="D30" s="49">
        <f>VLOOKUP($B$4,Inputs!$B$21:$C$49,2,FALSE)*D29</f>
        <v>110548.69653345308</v>
      </c>
      <c r="E30" s="49">
        <f>VLOOKUP($B$4,Inputs!$B$21:$C$49,2,FALSE)*E29</f>
        <v>75980.26381058242</v>
      </c>
      <c r="F30" s="49">
        <f>VLOOKUP($B$4,Inputs!$B$21:$C$49,2,FALSE)*F29</f>
        <v>66531.16543719577</v>
      </c>
      <c r="G30" s="49">
        <f>SUM(C30:F30)</f>
        <v>353221.0080412816</v>
      </c>
    </row>
    <row r="31" spans="1:7" ht="9.75">
      <c r="A31" s="20">
        <f>A30+1</f>
        <v>14</v>
      </c>
      <c r="B31" s="1" t="s">
        <v>43</v>
      </c>
      <c r="C31" s="10">
        <f>C29-C30</f>
        <v>233708.7252734509</v>
      </c>
      <c r="D31" s="8">
        <f>D29-D30</f>
        <v>257946.95857805724</v>
      </c>
      <c r="E31" s="8">
        <f>E29-E30</f>
        <v>177287.28222469235</v>
      </c>
      <c r="F31" s="8">
        <f>F29-F30</f>
        <v>155239.3860201235</v>
      </c>
      <c r="G31" s="8">
        <f>SUM(C31:F31)</f>
        <v>824182.352096324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305010.2889589796</v>
      </c>
      <c r="D36" s="8">
        <f>D23*VLOOKUP($B$4,Inputs!$B$86:$C$113,2,FALSE)</f>
        <v>336643.299388706</v>
      </c>
      <c r="E36" s="8">
        <f>E23*VLOOKUP($B$4,Inputs!$B$86:$C$113,2,FALSE)</f>
        <v>231375.3802594908</v>
      </c>
      <c r="F36" s="8">
        <f>F23*VLOOKUP($B$4,Inputs!$B$86:$C$113,2,FALSE)</f>
        <v>202600.9509589812</v>
      </c>
      <c r="G36" s="8">
        <f>G23*VLOOKUP($B$4,Inputs!$B$86:$C$113,2,FALSE)</f>
        <v>1075629.9195661575</v>
      </c>
    </row>
    <row r="37" spans="1:7" ht="9.75">
      <c r="A37" s="20">
        <f>A36+1</f>
        <v>16</v>
      </c>
      <c r="B37" s="1" t="s">
        <v>10</v>
      </c>
      <c r="C37" s="10">
        <f>C31-C36</f>
        <v>-71301.5636855287</v>
      </c>
      <c r="D37" s="10">
        <f>D31-D36</f>
        <v>-78696.34081064875</v>
      </c>
      <c r="E37" s="10">
        <f>E31-E36</f>
        <v>-54088.09803479846</v>
      </c>
      <c r="F37" s="10">
        <f>F31-F36</f>
        <v>-47361.564938857715</v>
      </c>
      <c r="G37" s="8">
        <f>G31-G36</f>
        <v>-251447.56746983354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bestFit="1" customWidth="1"/>
    <col min="3" max="5" width="15.421875" style="1" customWidth="1"/>
    <col min="6" max="6" width="15.00390625" style="1" bestFit="1" customWidth="1"/>
    <col min="7" max="7" width="11.8515625" style="1" bestFit="1" customWidth="1"/>
    <col min="8" max="8" width="9.140625" style="1" customWidth="1"/>
    <col min="9" max="9" width="10.42187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">
        <v>154</v>
      </c>
    </row>
    <row r="4" ht="9.75">
      <c r="B4" s="4" t="s">
        <v>60</v>
      </c>
    </row>
    <row r="5" spans="2:9" ht="9.75">
      <c r="B5" s="4"/>
      <c r="H5" s="45"/>
      <c r="I5" s="45"/>
    </row>
    <row r="6" ht="9.75">
      <c r="B6" s="4"/>
    </row>
    <row r="7" ht="9.75">
      <c r="B7" s="4"/>
    </row>
    <row r="8" spans="2:6" ht="10.5">
      <c r="B8" s="6"/>
      <c r="F8" s="6"/>
    </row>
    <row r="9" spans="3:5" ht="10.5">
      <c r="C9" s="57" t="s">
        <v>153</v>
      </c>
      <c r="D9" s="55"/>
      <c r="E9" s="56"/>
    </row>
    <row r="10" spans="2:12" ht="21">
      <c r="B10" s="41" t="s">
        <v>0</v>
      </c>
      <c r="C10" s="135" t="s">
        <v>174</v>
      </c>
      <c r="D10" s="135" t="s">
        <v>152</v>
      </c>
      <c r="E10" s="135" t="s">
        <v>158</v>
      </c>
      <c r="F10" s="24"/>
      <c r="G10" s="38"/>
      <c r="H10" s="38"/>
      <c r="I10" s="38"/>
      <c r="J10" s="38"/>
      <c r="K10" s="38"/>
      <c r="L10" s="11"/>
    </row>
    <row r="11" spans="1:12" ht="9.75">
      <c r="A11" s="20" t="s">
        <v>27</v>
      </c>
      <c r="B11" s="1" t="s">
        <v>146</v>
      </c>
      <c r="C11" s="138">
        <f>D11*0.75</f>
        <v>2131.053952092755</v>
      </c>
      <c r="D11" s="138">
        <f>'Summary Financials'!G23/$B$17</f>
        <v>2841.4052694570064</v>
      </c>
      <c r="E11" s="138">
        <f>D11*1.25</f>
        <v>3551.7565868212578</v>
      </c>
      <c r="F11" s="162"/>
      <c r="G11" s="39"/>
      <c r="H11" s="39"/>
      <c r="I11" s="39"/>
      <c r="J11" s="39"/>
      <c r="K11" s="39"/>
      <c r="L11" s="11"/>
    </row>
    <row r="12" spans="1:12" ht="9.75">
      <c r="A12" s="20" t="s">
        <v>28</v>
      </c>
      <c r="B12" s="1" t="s">
        <v>21</v>
      </c>
      <c r="C12" s="136">
        <f>D12*0.75</f>
        <v>544.3035781025601</v>
      </c>
      <c r="D12" s="136">
        <f>'Summary Financials'!G27/'Summary Range'!$B$17</f>
        <v>725.7381041367469</v>
      </c>
      <c r="E12" s="136">
        <f>D12*1.25</f>
        <v>907.1726301709336</v>
      </c>
      <c r="F12" s="163"/>
      <c r="G12" s="163"/>
      <c r="H12" s="163"/>
      <c r="I12" s="11"/>
      <c r="J12" s="11"/>
      <c r="K12" s="11"/>
      <c r="L12" s="11"/>
    </row>
    <row r="13" spans="1:8" ht="9.75">
      <c r="A13" s="20" t="s">
        <v>29</v>
      </c>
      <c r="B13" s="1" t="s">
        <v>147</v>
      </c>
      <c r="C13" s="136">
        <f>D13*0.75</f>
        <v>163.29107343076802</v>
      </c>
      <c r="D13" s="136">
        <f>'Summary Financials'!G28/'Summary Range'!$B$17</f>
        <v>217.72143124102402</v>
      </c>
      <c r="E13" s="136">
        <f>D13*1.25</f>
        <v>272.15178905128005</v>
      </c>
      <c r="F13" s="45"/>
      <c r="G13" s="45"/>
      <c r="H13" s="45"/>
    </row>
    <row r="14" spans="1:6" ht="9.75">
      <c r="A14" s="20" t="s">
        <v>30</v>
      </c>
      <c r="B14" s="1" t="s">
        <v>148</v>
      </c>
      <c r="C14" s="137">
        <f>D14*0.75</f>
        <v>16.901699957831177</v>
      </c>
      <c r="D14" s="137">
        <f>'Summary Financials'!G33/'Summary Range'!$B$17</f>
        <v>22.5355999437749</v>
      </c>
      <c r="E14" s="137">
        <f>D14*1.25</f>
        <v>28.169499929718626</v>
      </c>
      <c r="F14" s="45"/>
    </row>
    <row r="16" ht="9.75">
      <c r="B16" s="1" t="s">
        <v>149</v>
      </c>
    </row>
    <row r="17" spans="2:5" ht="9.75">
      <c r="B17" s="52">
        <v>1000000</v>
      </c>
      <c r="C17" s="122"/>
      <c r="D17" s="122"/>
      <c r="E17" s="122"/>
    </row>
    <row r="18" ht="9.75">
      <c r="B18" s="19"/>
    </row>
    <row r="20" ht="9.75">
      <c r="B20" s="52"/>
    </row>
  </sheetData>
  <sheetProtection/>
  <printOptions/>
  <pageMargins left="0.75" right="0.75" top="1" bottom="1" header="0.5" footer="0.5"/>
  <pageSetup horizontalDpi="200" verticalDpi="200" orientation="landscape" scale="70" r:id="rId1"/>
  <headerFooter alignWithMargins="0">
    <oddFooter>&amp;LDate Printed: &amp;D&amp;C&amp;A&amp;R&amp;P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2:AJ132"/>
  <sheetViews>
    <sheetView zoomScalePageLayoutView="0" workbookViewId="0" topLeftCell="M1">
      <selection activeCell="X10" sqref="X10"/>
    </sheetView>
  </sheetViews>
  <sheetFormatPr defaultColWidth="9.140625" defaultRowHeight="12.75"/>
  <cols>
    <col min="1" max="1" width="2.8515625" style="20" customWidth="1"/>
    <col min="2" max="2" width="18.421875" style="1" customWidth="1"/>
    <col min="3" max="9" width="13.57421875" style="1" customWidth="1"/>
    <col min="10" max="10" width="9.57421875" style="1" bestFit="1" customWidth="1"/>
    <col min="11" max="11" width="18.421875" style="1" customWidth="1"/>
    <col min="12" max="17" width="13.57421875" style="1" customWidth="1"/>
    <col min="18" max="18" width="9.140625" style="1" customWidth="1"/>
    <col min="19" max="19" width="18.421875" style="1" customWidth="1"/>
    <col min="20" max="25" width="13.57421875" style="1" customWidth="1"/>
    <col min="26" max="16384" width="9.140625" style="1" customWidth="1"/>
  </cols>
  <sheetData>
    <row r="2" spans="2:3" ht="19.5">
      <c r="B2" s="2" t="str">
        <f>'NP Parcels'!B2</f>
        <v>CY2024 Marketing Mail Incentive Program</v>
      </c>
      <c r="C2" s="2"/>
    </row>
    <row r="3" spans="2:3" ht="12.75">
      <c r="B3" s="3" t="s">
        <v>87</v>
      </c>
      <c r="C3" s="3"/>
    </row>
    <row r="4" spans="2:3" ht="9.75">
      <c r="B4" s="4" t="s">
        <v>165</v>
      </c>
      <c r="C4" s="4"/>
    </row>
    <row r="5" spans="2:3" ht="9.75">
      <c r="B5" s="4"/>
      <c r="C5" s="4"/>
    </row>
    <row r="6" spans="2:3" ht="9.75">
      <c r="B6" s="4"/>
      <c r="C6" s="4"/>
    </row>
    <row r="7" spans="2:3" ht="9.75">
      <c r="B7" s="4"/>
      <c r="C7" s="4"/>
    </row>
    <row r="8" spans="2:23" ht="10.5">
      <c r="B8" s="6"/>
      <c r="C8" s="148" t="s">
        <v>155</v>
      </c>
      <c r="D8" s="149" t="s">
        <v>129</v>
      </c>
      <c r="E8" s="149" t="s">
        <v>130</v>
      </c>
      <c r="F8" s="149" t="s">
        <v>131</v>
      </c>
      <c r="G8" s="150" t="s">
        <v>123</v>
      </c>
      <c r="L8" s="161" t="s">
        <v>124</v>
      </c>
      <c r="M8" s="149" t="s">
        <v>125</v>
      </c>
      <c r="N8" s="149" t="s">
        <v>126</v>
      </c>
      <c r="O8" s="150" t="s">
        <v>175</v>
      </c>
      <c r="T8" s="161" t="s">
        <v>176</v>
      </c>
      <c r="U8" s="149" t="s">
        <v>177</v>
      </c>
      <c r="V8" s="149" t="s">
        <v>178</v>
      </c>
      <c r="W8" s="150" t="s">
        <v>179</v>
      </c>
    </row>
    <row r="9" spans="3:24" ht="10.5">
      <c r="C9" s="140"/>
      <c r="D9" s="79" t="s">
        <v>99</v>
      </c>
      <c r="E9" s="79"/>
      <c r="F9" s="79"/>
      <c r="G9" s="79"/>
      <c r="H9" s="80"/>
      <c r="L9" s="57" t="s">
        <v>103</v>
      </c>
      <c r="M9" s="79"/>
      <c r="N9" s="79"/>
      <c r="O9" s="79"/>
      <c r="P9" s="80"/>
      <c r="T9" s="57" t="s">
        <v>104</v>
      </c>
      <c r="U9" s="79"/>
      <c r="V9" s="79"/>
      <c r="W9" s="79"/>
      <c r="X9" s="80"/>
    </row>
    <row r="10" spans="2:25" ht="10.5">
      <c r="B10" s="5" t="s">
        <v>48</v>
      </c>
      <c r="C10" s="141"/>
      <c r="D10" s="77" t="s">
        <v>53</v>
      </c>
      <c r="E10" s="77" t="s">
        <v>54</v>
      </c>
      <c r="F10" s="77" t="s">
        <v>55</v>
      </c>
      <c r="G10" s="77" t="s">
        <v>56</v>
      </c>
      <c r="H10" s="77" t="s">
        <v>156</v>
      </c>
      <c r="I10" s="77" t="s">
        <v>52</v>
      </c>
      <c r="K10" s="5" t="s">
        <v>48</v>
      </c>
      <c r="L10" s="76" t="s">
        <v>53</v>
      </c>
      <c r="M10" s="77" t="s">
        <v>54</v>
      </c>
      <c r="N10" s="77" t="s">
        <v>55</v>
      </c>
      <c r="O10" s="77" t="s">
        <v>56</v>
      </c>
      <c r="P10" s="77" t="s">
        <v>157</v>
      </c>
      <c r="Q10" s="77" t="s">
        <v>52</v>
      </c>
      <c r="S10" s="5" t="s">
        <v>48</v>
      </c>
      <c r="T10" s="76" t="s">
        <v>53</v>
      </c>
      <c r="U10" s="77" t="s">
        <v>54</v>
      </c>
      <c r="V10" s="77" t="s">
        <v>55</v>
      </c>
      <c r="W10" s="77" t="s">
        <v>56</v>
      </c>
      <c r="X10" s="77" t="s">
        <v>180</v>
      </c>
      <c r="Y10" s="77" t="s">
        <v>52</v>
      </c>
    </row>
    <row r="11" spans="1:36" ht="9.75">
      <c r="A11" s="20">
        <v>1</v>
      </c>
      <c r="B11" s="1" t="s">
        <v>63</v>
      </c>
      <c r="C11" s="84">
        <v>9799677277</v>
      </c>
      <c r="D11" s="84">
        <v>8335838042</v>
      </c>
      <c r="E11" s="85">
        <v>8401898031</v>
      </c>
      <c r="F11" s="85">
        <v>8349903518</v>
      </c>
      <c r="G11" s="85">
        <v>8403087352</v>
      </c>
      <c r="H11" s="81">
        <f>SUM(D11:G11)</f>
        <v>33490726943</v>
      </c>
      <c r="I11" s="42">
        <f>H11/$H$43</f>
        <v>0.5096047568774552</v>
      </c>
      <c r="K11" s="1" t="s">
        <v>63</v>
      </c>
      <c r="L11" s="84">
        <v>7188933278</v>
      </c>
      <c r="M11" s="115">
        <f>E11*(1+VLOOKUP('RPW Vol and Rev'!$K11,'Marketing Mail Volume Growth'!$B$22:$C$52,2,FALSE))</f>
        <v>7223537083.242469</v>
      </c>
      <c r="N11" s="115">
        <f>F11*(1+VLOOKUP('RPW Vol and Rev'!$K11,'Marketing Mail Volume Growth'!$B$22:$C$52,2,FALSE))</f>
        <v>7178834768.194743</v>
      </c>
      <c r="O11" s="115">
        <f>G11*(1+VLOOKUP('RPW Vol and Rev'!$K11,'Marketing Mail Volume Growth'!$B$22:$C$52,2,FALSE))</f>
        <v>7224559602.715531</v>
      </c>
      <c r="P11" s="81">
        <f>SUM(L11:O11)</f>
        <v>28815864732.152744</v>
      </c>
      <c r="Q11" s="42">
        <f>P11/$P$43</f>
        <v>0.4912945460225001</v>
      </c>
      <c r="S11" s="1" t="s">
        <v>63</v>
      </c>
      <c r="T11" s="114">
        <f>L11*(1+VLOOKUP($S11,'Marketing Mail Volume Growth'!$B$22:$C$50,2,FALSE))</f>
        <v>6180689878.761615</v>
      </c>
      <c r="U11" s="115">
        <f>M11*(1+VLOOKUP($S11,'Marketing Mail Volume Growth'!$B$22:$C$50,2,FALSE))</f>
        <v>6210440521.94581</v>
      </c>
      <c r="V11" s="115">
        <f>N11*(1+VLOOKUP($S11,'Marketing Mail Volume Growth'!$B$22:$C$50,2,FALSE))</f>
        <v>6172007678.645092</v>
      </c>
      <c r="W11" s="115">
        <f>O11*(1+VLOOKUP($S11,'Marketing Mail Volume Growth'!$B$22:$C$50,2,FALSE))</f>
        <v>6211319633.7018385</v>
      </c>
      <c r="X11" s="81">
        <f>SUM(T11:W11)</f>
        <v>24774457713.054356</v>
      </c>
      <c r="Y11" s="42">
        <f>X11/$X$43</f>
        <v>0.47061927593011865</v>
      </c>
      <c r="AA11" s="53"/>
      <c r="AB11" s="53"/>
      <c r="AC11" s="53"/>
      <c r="AD11" s="53"/>
      <c r="AE11" s="53"/>
      <c r="AF11" s="53"/>
      <c r="AG11" s="53"/>
      <c r="AH11" s="53"/>
      <c r="AI11" s="53"/>
      <c r="AJ11" s="45"/>
    </row>
    <row r="12" spans="1:36" ht="9.75">
      <c r="A12" s="20">
        <f>A11+1</f>
        <v>2</v>
      </c>
      <c r="B12" s="1" t="s">
        <v>64</v>
      </c>
      <c r="C12" s="84">
        <v>557299583</v>
      </c>
      <c r="D12" s="84">
        <v>453655568</v>
      </c>
      <c r="E12" s="85">
        <v>412103733</v>
      </c>
      <c r="F12" s="85">
        <v>408822524</v>
      </c>
      <c r="G12" s="85">
        <v>455353468</v>
      </c>
      <c r="H12" s="81">
        <f aca="true" t="shared" si="0" ref="H12:H23">SUM(D12:G12)</f>
        <v>1729935293</v>
      </c>
      <c r="I12" s="42">
        <f aca="true" t="shared" si="1" ref="I12:I25">H12/$H$43</f>
        <v>0.026323204506830112</v>
      </c>
      <c r="K12" s="1" t="s">
        <v>64</v>
      </c>
      <c r="L12" s="84">
        <v>369791948</v>
      </c>
      <c r="M12" s="115">
        <f>E12*(1+VLOOKUP('RPW Vol and Rev'!$K12,'Marketing Mail Volume Growth'!$B$22:$C$52,2,FALSE))</f>
        <v>336360624.76666474</v>
      </c>
      <c r="N12" s="115">
        <f>F12*(1+VLOOKUP('RPW Vol and Rev'!$K12,'Marketing Mail Volume Growth'!$B$22:$C$52,2,FALSE))</f>
        <v>333682489.57678044</v>
      </c>
      <c r="O12" s="115">
        <f>G12*(1+VLOOKUP('RPW Vol and Rev'!$K12,'Marketing Mail Volume Growth'!$B$22:$C$52,2,FALSE))</f>
        <v>371661221.9723511</v>
      </c>
      <c r="P12" s="81">
        <f aca="true" t="shared" si="2" ref="P12:P24">SUM(L12:O12)</f>
        <v>1411496284.3157964</v>
      </c>
      <c r="Q12" s="42">
        <f aca="true" t="shared" si="3" ref="Q12:Q25">P12/$P$43</f>
        <v>0.024065230478459727</v>
      </c>
      <c r="S12" s="1" t="s">
        <v>64</v>
      </c>
      <c r="T12" s="114">
        <f>L12*(1+VLOOKUP($S12,'Marketing Mail Volume Growth'!$B$22:$C$50,2,FALSE))</f>
        <v>301825585.896748</v>
      </c>
      <c r="U12" s="115">
        <f>M12*(1+VLOOKUP($S12,'Marketing Mail Volume Growth'!$B$22:$C$50,2,FALSE))</f>
        <v>274538813.4919444</v>
      </c>
      <c r="V12" s="115">
        <f>N12*(1+VLOOKUP($S12,'Marketing Mail Volume Growth'!$B$22:$C$50,2,FALSE))</f>
        <v>272352909.4257003</v>
      </c>
      <c r="W12" s="115">
        <f>O12*(1+VLOOKUP($S12,'Marketing Mail Volume Growth'!$B$22:$C$50,2,FALSE))</f>
        <v>303351294.3794714</v>
      </c>
      <c r="X12" s="81">
        <f aca="true" t="shared" si="4" ref="X12:X25">SUM(T12:W12)</f>
        <v>1152068603.193864</v>
      </c>
      <c r="Y12" s="42">
        <f aca="true" t="shared" si="5" ref="Y12:Y25">X12/$X$43</f>
        <v>0.02188486618503164</v>
      </c>
      <c r="AA12" s="53"/>
      <c r="AB12" s="53"/>
      <c r="AC12" s="53"/>
      <c r="AD12" s="53"/>
      <c r="AE12" s="53"/>
      <c r="AF12" s="53"/>
      <c r="AG12" s="53"/>
      <c r="AH12" s="53"/>
      <c r="AI12" s="53"/>
      <c r="AJ12" s="45"/>
    </row>
    <row r="13" spans="1:36" ht="9.75">
      <c r="A13" s="20">
        <f aca="true" t="shared" si="6" ref="A13:A24">A12+1</f>
        <v>3</v>
      </c>
      <c r="B13" s="1" t="s">
        <v>65</v>
      </c>
      <c r="C13" s="84">
        <v>5920352</v>
      </c>
      <c r="D13" s="84">
        <v>6461940</v>
      </c>
      <c r="E13" s="85">
        <v>7592486</v>
      </c>
      <c r="F13" s="85">
        <v>8360225</v>
      </c>
      <c r="G13" s="85">
        <v>6134906</v>
      </c>
      <c r="H13" s="81">
        <f t="shared" si="0"/>
        <v>28549557</v>
      </c>
      <c r="I13" s="42">
        <f t="shared" si="1"/>
        <v>0.00043441846092818174</v>
      </c>
      <c r="K13" s="1" t="s">
        <v>65</v>
      </c>
      <c r="L13" s="84">
        <v>5214518</v>
      </c>
      <c r="M13" s="115">
        <f>E13*(1+VLOOKUP('RPW Vol and Rev'!$K13,'Marketing Mail Volume Growth'!$B$22:$C$52,2,FALSE))</f>
        <v>6959159.324304741</v>
      </c>
      <c r="N13" s="115">
        <f>F13*(1+VLOOKUP('RPW Vol and Rev'!$K13,'Marketing Mail Volume Growth'!$B$22:$C$52,2,FALSE))</f>
        <v>7662857.430627544</v>
      </c>
      <c r="O13" s="115">
        <f>G13*(1+VLOOKUP('RPW Vol and Rev'!$K13,'Marketing Mail Volume Growth'!$B$22:$C$52,2,FALSE))</f>
        <v>5623163.255570455</v>
      </c>
      <c r="P13" s="81">
        <f t="shared" si="2"/>
        <v>25459698.01050274</v>
      </c>
      <c r="Q13" s="42">
        <f t="shared" si="3"/>
        <v>0.00043407376083297723</v>
      </c>
      <c r="S13" s="1" t="s">
        <v>65</v>
      </c>
      <c r="T13" s="114">
        <f>L13*(1+VLOOKUP($S13,'Marketing Mail Volume Growth'!$B$22:$C$50,2,FALSE))</f>
        <v>4779549.354645489</v>
      </c>
      <c r="U13" s="115">
        <f>M13*(1+VLOOKUP($S13,'Marketing Mail Volume Growth'!$B$22:$C$50,2,FALSE))</f>
        <v>6378661.54788532</v>
      </c>
      <c r="V13" s="115">
        <f>N13*(1+VLOOKUP($S13,'Marketing Mail Volume Growth'!$B$22:$C$50,2,FALSE))</f>
        <v>7023660.727088538</v>
      </c>
      <c r="W13" s="115">
        <f>O13*(1+VLOOKUP($S13,'Marketing Mail Volume Growth'!$B$22:$C$50,2,FALSE))</f>
        <v>5154107.495501597</v>
      </c>
      <c r="X13" s="81">
        <f t="shared" si="4"/>
        <v>23335979.12512094</v>
      </c>
      <c r="Y13" s="42">
        <f t="shared" si="5"/>
        <v>0.000443293723163832</v>
      </c>
      <c r="AA13" s="53"/>
      <c r="AB13" s="53"/>
      <c r="AC13" s="53"/>
      <c r="AD13" s="53"/>
      <c r="AE13" s="53"/>
      <c r="AF13" s="53"/>
      <c r="AG13" s="53"/>
      <c r="AH13" s="53"/>
      <c r="AI13" s="53"/>
      <c r="AJ13" s="45"/>
    </row>
    <row r="14" spans="1:36" ht="9.75">
      <c r="A14" s="20">
        <f t="shared" si="6"/>
        <v>4</v>
      </c>
      <c r="B14" s="1" t="s">
        <v>66</v>
      </c>
      <c r="C14" s="84">
        <v>1414950578</v>
      </c>
      <c r="D14" s="84">
        <v>915356879</v>
      </c>
      <c r="E14" s="85">
        <v>991067573</v>
      </c>
      <c r="F14" s="85">
        <v>1025157971</v>
      </c>
      <c r="G14" s="85">
        <v>1373527401</v>
      </c>
      <c r="H14" s="81">
        <f t="shared" si="0"/>
        <v>4305109824</v>
      </c>
      <c r="I14" s="42">
        <f t="shared" si="1"/>
        <v>0.06550781799762692</v>
      </c>
      <c r="K14" s="1" t="s">
        <v>66</v>
      </c>
      <c r="L14" s="84">
        <v>789711588</v>
      </c>
      <c r="M14" s="115">
        <f>E14*(1+VLOOKUP('RPW Vol and Rev'!$K14,'Marketing Mail Volume Growth'!$B$22:$C$52,2,FALSE))</f>
        <v>920014227.3960906</v>
      </c>
      <c r="N14" s="115">
        <f>F14*(1+VLOOKUP('RPW Vol and Rev'!$K14,'Marketing Mail Volume Growth'!$B$22:$C$52,2,FALSE))</f>
        <v>951660557.1036162</v>
      </c>
      <c r="O14" s="115">
        <f>G14*(1+VLOOKUP('RPW Vol and Rev'!$K14,'Marketing Mail Volume Growth'!$B$22:$C$52,2,FALSE))</f>
        <v>1275054078.1121645</v>
      </c>
      <c r="P14" s="81">
        <f t="shared" si="2"/>
        <v>3936440450.6118712</v>
      </c>
      <c r="Q14" s="42">
        <f t="shared" si="3"/>
        <v>0.06711413112548593</v>
      </c>
      <c r="S14" s="1" t="s">
        <v>66</v>
      </c>
      <c r="T14" s="114">
        <f>L14*(1+VLOOKUP($S14,'Marketing Mail Volume Growth'!$B$22:$C$50,2,FALSE))</f>
        <v>733094206.9875995</v>
      </c>
      <c r="U14" s="115">
        <f>M14*(1+VLOOKUP($S14,'Marketing Mail Volume Growth'!$B$22:$C$50,2,FALSE))</f>
        <v>854054962.2152007</v>
      </c>
      <c r="V14" s="115">
        <f>N14*(1+VLOOKUP($S14,'Marketing Mail Volume Growth'!$B$22:$C$50,2,FALSE))</f>
        <v>883432448.0385524</v>
      </c>
      <c r="W14" s="115">
        <f>O14*(1+VLOOKUP($S14,'Marketing Mail Volume Growth'!$B$22:$C$50,2,FALSE))</f>
        <v>1183640676.4996614</v>
      </c>
      <c r="X14" s="81">
        <f t="shared" si="4"/>
        <v>3654222293.741014</v>
      </c>
      <c r="Y14" s="42">
        <f t="shared" si="5"/>
        <v>0.0694161490792959</v>
      </c>
      <c r="AA14" s="53"/>
      <c r="AB14" s="53"/>
      <c r="AC14" s="53"/>
      <c r="AD14" s="53"/>
      <c r="AE14" s="53"/>
      <c r="AF14" s="53"/>
      <c r="AG14" s="53"/>
      <c r="AH14" s="53"/>
      <c r="AI14" s="53"/>
      <c r="AJ14" s="45"/>
    </row>
    <row r="15" spans="1:35" ht="9.75" hidden="1">
      <c r="A15" s="20">
        <f t="shared" si="6"/>
        <v>5</v>
      </c>
      <c r="B15" s="1" t="s">
        <v>67</v>
      </c>
      <c r="C15" s="84">
        <v>0</v>
      </c>
      <c r="D15" s="84">
        <v>0</v>
      </c>
      <c r="E15" s="85">
        <v>0</v>
      </c>
      <c r="F15" s="85">
        <v>0</v>
      </c>
      <c r="G15" s="85">
        <v>0</v>
      </c>
      <c r="H15" s="81">
        <f t="shared" si="0"/>
        <v>0</v>
      </c>
      <c r="I15" s="42">
        <f t="shared" si="1"/>
        <v>0</v>
      </c>
      <c r="K15" s="1" t="s">
        <v>67</v>
      </c>
      <c r="L15" s="84">
        <v>0</v>
      </c>
      <c r="M15" s="115">
        <v>0</v>
      </c>
      <c r="N15" s="115">
        <v>0</v>
      </c>
      <c r="O15" s="115">
        <v>0</v>
      </c>
      <c r="P15" s="81">
        <v>0</v>
      </c>
      <c r="Q15" s="42">
        <f t="shared" si="3"/>
        <v>0</v>
      </c>
      <c r="S15" s="1" t="s">
        <v>67</v>
      </c>
      <c r="T15" s="114">
        <v>0</v>
      </c>
      <c r="U15" s="115">
        <v>0</v>
      </c>
      <c r="V15" s="115">
        <v>0</v>
      </c>
      <c r="W15" s="115">
        <v>0</v>
      </c>
      <c r="X15" s="81">
        <v>0</v>
      </c>
      <c r="Y15" s="42">
        <f t="shared" si="5"/>
        <v>0</v>
      </c>
      <c r="AA15" s="53"/>
      <c r="AB15" s="53"/>
      <c r="AC15" s="53"/>
      <c r="AD15" s="53"/>
      <c r="AE15" s="53"/>
      <c r="AF15" s="53"/>
      <c r="AG15" s="53"/>
      <c r="AH15" s="53"/>
      <c r="AI15" s="53"/>
    </row>
    <row r="16" spans="1:36" ht="9.75">
      <c r="A16" s="20">
        <f>A14+1</f>
        <v>5</v>
      </c>
      <c r="B16" s="1" t="s">
        <v>68</v>
      </c>
      <c r="C16" s="84">
        <v>492113235</v>
      </c>
      <c r="D16" s="84">
        <v>517799602</v>
      </c>
      <c r="E16" s="85">
        <v>522605781</v>
      </c>
      <c r="F16" s="85">
        <v>509183764</v>
      </c>
      <c r="G16" s="85">
        <v>478868435</v>
      </c>
      <c r="H16" s="81">
        <f t="shared" si="0"/>
        <v>2028457582</v>
      </c>
      <c r="I16" s="42">
        <f t="shared" si="1"/>
        <v>0.030865607505942774</v>
      </c>
      <c r="K16" s="1" t="s">
        <v>68</v>
      </c>
      <c r="L16" s="84">
        <v>491159877</v>
      </c>
      <c r="M16" s="115">
        <f>E16*(1+VLOOKUP('RPW Vol and Rev'!$K16,'Marketing Mail Volume Growth'!$B$22:$C$52,2,FALSE))</f>
        <v>501966491.57443243</v>
      </c>
      <c r="N16" s="115">
        <f>F16*(1+VLOOKUP('RPW Vol and Rev'!$K16,'Marketing Mail Volume Growth'!$B$22:$C$52,2,FALSE))</f>
        <v>489074550.7879175</v>
      </c>
      <c r="O16" s="115">
        <f>G16*(1+VLOOKUP('RPW Vol and Rev'!$K16,'Marketing Mail Volume Growth'!$B$22:$C$52,2,FALSE))</f>
        <v>459956466.1966285</v>
      </c>
      <c r="P16" s="81">
        <f t="shared" si="2"/>
        <v>1942157385.5589786</v>
      </c>
      <c r="Q16" s="42">
        <f t="shared" si="3"/>
        <v>0.0331127085691022</v>
      </c>
      <c r="S16" s="1" t="s">
        <v>68</v>
      </c>
      <c r="T16" s="114">
        <f>L16*(1+VLOOKUP($S16,'Marketing Mail Volume Growth'!$B$22:$C$50,2,FALSE))</f>
        <v>471762481.8234067</v>
      </c>
      <c r="U16" s="115">
        <f>M16*(1+VLOOKUP($S16,'Marketing Mail Volume Growth'!$B$22:$C$50,2,FALSE))</f>
        <v>482142310.3690174</v>
      </c>
      <c r="V16" s="115">
        <f>N16*(1+VLOOKUP($S16,'Marketing Mail Volume Growth'!$B$22:$C$50,2,FALSE))</f>
        <v>469759511.47649574</v>
      </c>
      <c r="W16" s="115">
        <f>O16*(1+VLOOKUP($S16,'Marketing Mail Volume Growth'!$B$22:$C$50,2,FALSE))</f>
        <v>441791388.47623205</v>
      </c>
      <c r="X16" s="81">
        <f t="shared" si="4"/>
        <v>1865455692.1451519</v>
      </c>
      <c r="Y16" s="42">
        <f t="shared" si="5"/>
        <v>0.035436473213073374</v>
      </c>
      <c r="AA16" s="53"/>
      <c r="AB16" s="53"/>
      <c r="AC16" s="53"/>
      <c r="AD16" s="53"/>
      <c r="AE16" s="53"/>
      <c r="AF16" s="53"/>
      <c r="AG16" s="53"/>
      <c r="AH16" s="53"/>
      <c r="AI16" s="53"/>
      <c r="AJ16" s="45"/>
    </row>
    <row r="17" spans="1:36" ht="9.75">
      <c r="A17" s="20">
        <f t="shared" si="6"/>
        <v>6</v>
      </c>
      <c r="B17" s="1" t="s">
        <v>69</v>
      </c>
      <c r="C17" s="84">
        <v>1307525206</v>
      </c>
      <c r="D17" s="84">
        <v>1304097582</v>
      </c>
      <c r="E17" s="85">
        <v>1329312142</v>
      </c>
      <c r="F17" s="85">
        <v>1261231927</v>
      </c>
      <c r="G17" s="85">
        <v>1275327066</v>
      </c>
      <c r="H17" s="81">
        <f t="shared" si="0"/>
        <v>5169968717</v>
      </c>
      <c r="I17" s="42">
        <f t="shared" si="1"/>
        <v>0.07866776542578179</v>
      </c>
      <c r="K17" s="1" t="s">
        <v>69</v>
      </c>
      <c r="L17" s="84">
        <v>1209683865</v>
      </c>
      <c r="M17" s="115">
        <f>E17*(1+VLOOKUP('RPW Vol and Rev'!$K17,'Marketing Mail Volume Growth'!$B$22:$C$52,2,FALSE))</f>
        <v>1264866893.7793877</v>
      </c>
      <c r="N17" s="115">
        <f>F17*(1+VLOOKUP('RPW Vol and Rev'!$K17,'Marketing Mail Volume Growth'!$B$22:$C$52,2,FALSE))</f>
        <v>1200087217.618961</v>
      </c>
      <c r="O17" s="115">
        <f>G17*(1+VLOOKUP('RPW Vol and Rev'!$K17,'Marketing Mail Volume Growth'!$B$22:$C$52,2,FALSE))</f>
        <v>1213499022.206479</v>
      </c>
      <c r="P17" s="81">
        <f t="shared" si="2"/>
        <v>4888136998.604828</v>
      </c>
      <c r="Q17" s="42">
        <f t="shared" si="3"/>
        <v>0.08334003056815208</v>
      </c>
      <c r="S17" s="1" t="s">
        <v>69</v>
      </c>
      <c r="T17" s="114">
        <f>L17*(1+VLOOKUP($S17,'Marketing Mail Volume Growth'!$B$22:$C$50,2,FALSE))</f>
        <v>1151038213.2487843</v>
      </c>
      <c r="U17" s="115">
        <f>M17*(1+VLOOKUP($S17,'Marketing Mail Volume Growth'!$B$22:$C$50,2,FALSE))</f>
        <v>1203545960.6740859</v>
      </c>
      <c r="V17" s="115">
        <f>N17*(1+VLOOKUP($S17,'Marketing Mail Volume Growth'!$B$22:$C$50,2,FALSE))</f>
        <v>1141906812.744695</v>
      </c>
      <c r="W17" s="115">
        <f>O17*(1+VLOOKUP($S17,'Marketing Mail Volume Growth'!$B$22:$C$50,2,FALSE))</f>
        <v>1154668411.0725842</v>
      </c>
      <c r="X17" s="81">
        <f t="shared" si="4"/>
        <v>4651159397.7401495</v>
      </c>
      <c r="Y17" s="42">
        <f t="shared" si="5"/>
        <v>0.08835411427983063</v>
      </c>
      <c r="AA17" s="53"/>
      <c r="AB17" s="53"/>
      <c r="AC17" s="53"/>
      <c r="AD17" s="53"/>
      <c r="AE17" s="53"/>
      <c r="AF17" s="53"/>
      <c r="AG17" s="53"/>
      <c r="AH17" s="53"/>
      <c r="AI17" s="53"/>
      <c r="AJ17" s="45"/>
    </row>
    <row r="18" spans="1:36" ht="9.75">
      <c r="A18" s="20">
        <f t="shared" si="6"/>
        <v>7</v>
      </c>
      <c r="B18" s="1" t="s">
        <v>70</v>
      </c>
      <c r="C18" s="84">
        <v>9654255</v>
      </c>
      <c r="D18" s="84">
        <v>10014685</v>
      </c>
      <c r="E18" s="85">
        <v>12933057</v>
      </c>
      <c r="F18" s="85">
        <v>10346671</v>
      </c>
      <c r="G18" s="85">
        <v>10974349</v>
      </c>
      <c r="H18" s="81">
        <f t="shared" si="0"/>
        <v>44268762</v>
      </c>
      <c r="I18" s="42">
        <f t="shared" si="1"/>
        <v>0.0006736065100847616</v>
      </c>
      <c r="K18" s="1" t="s">
        <v>70</v>
      </c>
      <c r="L18" s="84">
        <v>7452029</v>
      </c>
      <c r="M18" s="115">
        <f>E18*(1+VLOOKUP('RPW Vol and Rev'!$K18,'Marketing Mail Volume Growth'!$B$22:$C$52,2,FALSE))</f>
        <v>12116026.434446696</v>
      </c>
      <c r="N18" s="115">
        <f>F18*(1+VLOOKUP('RPW Vol and Rev'!$K18,'Marketing Mail Volume Growth'!$B$22:$C$52,2,FALSE))</f>
        <v>9693032.30817919</v>
      </c>
      <c r="O18" s="115">
        <f>G18*(1+VLOOKUP('RPW Vol and Rev'!$K18,'Marketing Mail Volume Growth'!$B$22:$C$52,2,FALSE))</f>
        <v>10281057.493587453</v>
      </c>
      <c r="P18" s="81">
        <f t="shared" si="2"/>
        <v>39542145.23621334</v>
      </c>
      <c r="Q18" s="42">
        <f t="shared" si="3"/>
        <v>0.0006741716923353242</v>
      </c>
      <c r="S18" s="1" t="s">
        <v>70</v>
      </c>
      <c r="T18" s="114">
        <f>L18*(1+VLOOKUP($S18,'Marketing Mail Volume Growth'!$B$22:$C$50,2,FALSE))</f>
        <v>6981255.889791824</v>
      </c>
      <c r="U18" s="115">
        <f>M18*(1+VLOOKUP($S18,'Marketing Mail Volume Growth'!$B$22:$C$50,2,FALSE))</f>
        <v>11350610.807654455</v>
      </c>
      <c r="V18" s="115">
        <f>N18*(1+VLOOKUP($S18,'Marketing Mail Volume Growth'!$B$22:$C$50,2,FALSE))</f>
        <v>9080686.46692309</v>
      </c>
      <c r="W18" s="115">
        <f>O18*(1+VLOOKUP($S18,'Marketing Mail Volume Growth'!$B$22:$C$50,2,FALSE))</f>
        <v>9631563.857359622</v>
      </c>
      <c r="X18" s="81">
        <f t="shared" si="4"/>
        <v>37044117.02172899</v>
      </c>
      <c r="Y18" s="42">
        <f t="shared" si="5"/>
        <v>0.000703695545313607</v>
      </c>
      <c r="AA18" s="53"/>
      <c r="AB18" s="53"/>
      <c r="AC18" s="53"/>
      <c r="AD18" s="53"/>
      <c r="AE18" s="53"/>
      <c r="AF18" s="53"/>
      <c r="AG18" s="53"/>
      <c r="AH18" s="53"/>
      <c r="AI18" s="53"/>
      <c r="AJ18" s="45"/>
    </row>
    <row r="19" spans="1:36" ht="9.75">
      <c r="A19" s="20">
        <f t="shared" si="6"/>
        <v>8</v>
      </c>
      <c r="B19" s="1" t="s">
        <v>71</v>
      </c>
      <c r="C19" s="84">
        <v>470167449</v>
      </c>
      <c r="D19" s="84">
        <v>468667309</v>
      </c>
      <c r="E19" s="85">
        <v>495276288</v>
      </c>
      <c r="F19" s="85">
        <v>494217321</v>
      </c>
      <c r="G19" s="85">
        <v>484533023</v>
      </c>
      <c r="H19" s="81">
        <f t="shared" si="0"/>
        <v>1942693941</v>
      </c>
      <c r="I19" s="42">
        <f t="shared" si="1"/>
        <v>0.029560602705804646</v>
      </c>
      <c r="K19" s="1" t="s">
        <v>71</v>
      </c>
      <c r="L19" s="84">
        <v>459008956</v>
      </c>
      <c r="M19" s="115">
        <f>E19*(1+VLOOKUP('RPW Vol and Rev'!$K19,'Marketing Mail Volume Growth'!$B$22:$C$52,2,FALSE))</f>
        <v>497759552.41241074</v>
      </c>
      <c r="N19" s="115">
        <f>F19*(1+VLOOKUP('RPW Vol and Rev'!$K19,'Marketing Mail Volume Growth'!$B$22:$C$52,2,FALSE))</f>
        <v>496695275.8606944</v>
      </c>
      <c r="O19" s="115">
        <f>G19*(1+VLOOKUP('RPW Vol and Rev'!$K19,'Marketing Mail Volume Growth'!$B$22:$C$52,2,FALSE))</f>
        <v>486962421.785701</v>
      </c>
      <c r="P19" s="81">
        <f t="shared" si="2"/>
        <v>1940426206.0588062</v>
      </c>
      <c r="Q19" s="42">
        <f t="shared" si="3"/>
        <v>0.03308319291671674</v>
      </c>
      <c r="S19" s="1" t="s">
        <v>71</v>
      </c>
      <c r="T19" s="114">
        <f>L19*(1+VLOOKUP($S19,'Marketing Mail Volume Growth'!$B$22:$C$50,2,FALSE))</f>
        <v>461310379.7366692</v>
      </c>
      <c r="U19" s="115">
        <f>M19*(1+VLOOKUP($S19,'Marketing Mail Volume Growth'!$B$22:$C$50,2,FALSE))</f>
        <v>500255267.6573999</v>
      </c>
      <c r="V19" s="115">
        <f>N19*(1+VLOOKUP($S19,'Marketing Mail Volume Growth'!$B$22:$C$50,2,FALSE))</f>
        <v>499185654.93242055</v>
      </c>
      <c r="W19" s="115">
        <f>O19*(1+VLOOKUP($S19,'Marketing Mail Volume Growth'!$B$22:$C$50,2,FALSE))</f>
        <v>489404001.3272634</v>
      </c>
      <c r="X19" s="81">
        <f t="shared" si="4"/>
        <v>1950155303.653753</v>
      </c>
      <c r="Y19" s="42">
        <f t="shared" si="5"/>
        <v>0.03704543960504958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45"/>
    </row>
    <row r="20" spans="1:36" ht="9.75">
      <c r="A20" s="20">
        <f t="shared" si="6"/>
        <v>9</v>
      </c>
      <c r="B20" s="1" t="s">
        <v>16</v>
      </c>
      <c r="C20" s="84">
        <v>630401494</v>
      </c>
      <c r="D20" s="84">
        <v>575770033</v>
      </c>
      <c r="E20" s="85">
        <v>559915059</v>
      </c>
      <c r="F20" s="85">
        <v>591536510</v>
      </c>
      <c r="G20" s="85">
        <v>604137082</v>
      </c>
      <c r="H20" s="81">
        <f t="shared" si="0"/>
        <v>2331358684</v>
      </c>
      <c r="I20" s="42">
        <f t="shared" si="1"/>
        <v>0.03547463981226859</v>
      </c>
      <c r="K20" s="1" t="s">
        <v>16</v>
      </c>
      <c r="L20" s="84">
        <v>474678251</v>
      </c>
      <c r="M20" s="115">
        <f>E20*(1+VLOOKUP('RPW Vol and Rev'!$K20,'Marketing Mail Volume Growth'!$B$22:$C$52,2,FALSE))</f>
        <v>500795232.93771106</v>
      </c>
      <c r="N20" s="115">
        <f>F20*(1+VLOOKUP('RPW Vol and Rev'!$K20,'Marketing Mail Volume Growth'!$B$22:$C$52,2,FALSE))</f>
        <v>529077865.5706966</v>
      </c>
      <c r="O20" s="115">
        <f>G20*(1+VLOOKUP('RPW Vol and Rev'!$K20,'Marketing Mail Volume Growth'!$B$22:$C$52,2,FALSE))</f>
        <v>540347979.2932289</v>
      </c>
      <c r="P20" s="81">
        <f t="shared" si="2"/>
        <v>2044899328.8016365</v>
      </c>
      <c r="Q20" s="42">
        <f t="shared" si="3"/>
        <v>0.034864401840571144</v>
      </c>
      <c r="S20" s="1" t="s">
        <v>16</v>
      </c>
      <c r="T20" s="114">
        <f>L20*(1+VLOOKUP($S20,'Marketing Mail Volume Growth'!$B$22:$C$50,2,FALSE))</f>
        <v>424558335.1599234</v>
      </c>
      <c r="U20" s="115">
        <f>M20*(1+VLOOKUP($S20,'Marketing Mail Volume Growth'!$B$22:$C$50,2,FALSE))</f>
        <v>447917699.84014</v>
      </c>
      <c r="V20" s="115">
        <f>N20*(1+VLOOKUP($S20,'Marketing Mail Volume Growth'!$B$22:$C$50,2,FALSE))</f>
        <v>473214050.36663604</v>
      </c>
      <c r="W20" s="115">
        <f>O20*(1+VLOOKUP($S20,'Marketing Mail Volume Growth'!$B$22:$C$50,2,FALSE))</f>
        <v>483294185.08740985</v>
      </c>
      <c r="X20" s="81">
        <f t="shared" si="4"/>
        <v>1828984270.4541092</v>
      </c>
      <c r="Y20" s="42">
        <f t="shared" si="5"/>
        <v>0.03474365667326527</v>
      </c>
      <c r="AA20" s="53"/>
      <c r="AB20" s="53"/>
      <c r="AC20" s="53"/>
      <c r="AD20" s="53"/>
      <c r="AE20" s="53"/>
      <c r="AF20" s="53"/>
      <c r="AG20" s="53"/>
      <c r="AH20" s="53"/>
      <c r="AI20" s="53"/>
      <c r="AJ20" s="45"/>
    </row>
    <row r="21" spans="1:36" ht="9.75">
      <c r="A21" s="20">
        <f t="shared" si="6"/>
        <v>10</v>
      </c>
      <c r="B21" s="1" t="s">
        <v>18</v>
      </c>
      <c r="C21" s="84">
        <v>381784263</v>
      </c>
      <c r="D21" s="84">
        <v>235791291</v>
      </c>
      <c r="E21" s="85">
        <v>330625773</v>
      </c>
      <c r="F21" s="85">
        <v>312957567</v>
      </c>
      <c r="G21" s="85">
        <v>443720884</v>
      </c>
      <c r="H21" s="81">
        <f t="shared" si="0"/>
        <v>1323095515</v>
      </c>
      <c r="I21" s="42">
        <f t="shared" si="1"/>
        <v>0.02013261071922342</v>
      </c>
      <c r="K21" s="1" t="s">
        <v>18</v>
      </c>
      <c r="L21" s="84">
        <v>205082092</v>
      </c>
      <c r="M21" s="115">
        <f>E21*(1+VLOOKUP('RPW Vol and Rev'!$K21,'Marketing Mail Volume Growth'!$B$22:$C$52,2,FALSE))</f>
        <v>347343712.1584972</v>
      </c>
      <c r="N21" s="115">
        <f>F21*(1+VLOOKUP('RPW Vol and Rev'!$K21,'Marketing Mail Volume Growth'!$B$22:$C$52,2,FALSE))</f>
        <v>328782121.5010713</v>
      </c>
      <c r="O21" s="115">
        <f>G21*(1+VLOOKUP('RPW Vol and Rev'!$K21,'Marketing Mail Volume Growth'!$B$22:$C$52,2,FALSE))</f>
        <v>466157425.0922354</v>
      </c>
      <c r="P21" s="81">
        <f t="shared" si="2"/>
        <v>1347365350.7518039</v>
      </c>
      <c r="Q21" s="42">
        <f t="shared" si="3"/>
        <v>0.022971833553391392</v>
      </c>
      <c r="S21" s="1" t="s">
        <v>18</v>
      </c>
      <c r="T21" s="114">
        <f>L21*(1+VLOOKUP($S21,'Marketing Mail Volume Growth'!$B$22:$C$50,2,FALSE))</f>
        <v>215451973.0453997</v>
      </c>
      <c r="U21" s="115">
        <f>M21*(1+VLOOKUP($S21,'Marketing Mail Volume Growth'!$B$22:$C$50,2,FALSE))</f>
        <v>364906986.1714772</v>
      </c>
      <c r="V21" s="115">
        <f>N21*(1+VLOOKUP($S21,'Marketing Mail Volume Growth'!$B$22:$C$50,2,FALSE))</f>
        <v>345406837.2749881</v>
      </c>
      <c r="W21" s="115">
        <f>O21*(1+VLOOKUP($S21,'Marketing Mail Volume Growth'!$B$22:$C$50,2,FALSE))</f>
        <v>489728459.4984785</v>
      </c>
      <c r="X21" s="81">
        <f t="shared" si="4"/>
        <v>1415494255.9903433</v>
      </c>
      <c r="Y21" s="42">
        <f t="shared" si="5"/>
        <v>0.026888938985187134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45"/>
    </row>
    <row r="22" spans="1:36" ht="9.75">
      <c r="A22" s="20">
        <f t="shared" si="6"/>
        <v>11</v>
      </c>
      <c r="B22" s="1" t="s">
        <v>17</v>
      </c>
      <c r="C22" s="84">
        <v>284418192</v>
      </c>
      <c r="D22" s="84">
        <v>306984549</v>
      </c>
      <c r="E22" s="85">
        <v>309205143</v>
      </c>
      <c r="F22" s="85">
        <v>319890990</v>
      </c>
      <c r="G22" s="85">
        <v>283483263</v>
      </c>
      <c r="H22" s="81">
        <f t="shared" si="0"/>
        <v>1219563945</v>
      </c>
      <c r="I22" s="42">
        <f t="shared" si="1"/>
        <v>0.018557243882642443</v>
      </c>
      <c r="K22" s="1" t="s">
        <v>17</v>
      </c>
      <c r="L22" s="84">
        <v>360144447</v>
      </c>
      <c r="M22" s="115">
        <f>E22*(1+VLOOKUP('RPW Vol and Rev'!$K22,'Marketing Mail Volume Growth'!$B$22:$C$52,2,FALSE))</f>
        <v>336510104.38808995</v>
      </c>
      <c r="N22" s="115">
        <f>F22*(1+VLOOKUP('RPW Vol and Rev'!$K22,'Marketing Mail Volume Growth'!$B$22:$C$52,2,FALSE))</f>
        <v>348139585.88557315</v>
      </c>
      <c r="O22" s="115">
        <f>G22*(1+VLOOKUP('RPW Vol and Rev'!$K22,'Marketing Mail Volume Growth'!$B$22:$C$52,2,FALSE))</f>
        <v>308516803.7596527</v>
      </c>
      <c r="P22" s="81">
        <f t="shared" si="2"/>
        <v>1353310941.0333157</v>
      </c>
      <c r="Q22" s="42">
        <f t="shared" si="3"/>
        <v>0.023073202577203192</v>
      </c>
      <c r="S22" s="1" t="s">
        <v>17</v>
      </c>
      <c r="T22" s="114">
        <f>L22*(1+VLOOKUP($S22,'Marketing Mail Volume Growth'!$B$22:$C$50,2,FALSE))</f>
        <v>391947702.6769924</v>
      </c>
      <c r="U22" s="115">
        <f>M22*(1+VLOOKUP($S22,'Marketing Mail Volume Growth'!$B$22:$C$50,2,FALSE))</f>
        <v>366226283.48482287</v>
      </c>
      <c r="V22" s="115">
        <f>N22*(1+VLOOKUP($S22,'Marketing Mail Volume Growth'!$B$22:$C$50,2,FALSE))</f>
        <v>378882728.9589443</v>
      </c>
      <c r="W22" s="115">
        <f>O22*(1+VLOOKUP($S22,'Marketing Mail Volume Growth'!$B$22:$C$50,2,FALSE))</f>
        <v>335760980.0126791</v>
      </c>
      <c r="X22" s="81">
        <f t="shared" si="4"/>
        <v>1472817695.1334386</v>
      </c>
      <c r="Y22" s="42">
        <f t="shared" si="5"/>
        <v>0.027977863543529033</v>
      </c>
      <c r="AA22" s="53"/>
      <c r="AB22" s="53"/>
      <c r="AC22" s="53"/>
      <c r="AD22" s="53"/>
      <c r="AE22" s="53"/>
      <c r="AF22" s="53"/>
      <c r="AG22" s="53"/>
      <c r="AH22" s="53"/>
      <c r="AI22" s="53"/>
      <c r="AJ22" s="45"/>
    </row>
    <row r="23" spans="1:36" ht="9.75">
      <c r="A23" s="20">
        <f t="shared" si="6"/>
        <v>12</v>
      </c>
      <c r="B23" s="1" t="s">
        <v>11</v>
      </c>
      <c r="C23" s="84">
        <v>135861981</v>
      </c>
      <c r="D23" s="84">
        <v>98644856</v>
      </c>
      <c r="E23" s="85">
        <v>118427611</v>
      </c>
      <c r="F23" s="85">
        <v>119474460</v>
      </c>
      <c r="G23" s="85">
        <v>199637077</v>
      </c>
      <c r="H23" s="81">
        <f t="shared" si="0"/>
        <v>536184004</v>
      </c>
      <c r="I23" s="42">
        <f t="shared" si="1"/>
        <v>0.008158733594079587</v>
      </c>
      <c r="K23" s="1" t="s">
        <v>11</v>
      </c>
      <c r="L23" s="84">
        <v>91368071</v>
      </c>
      <c r="M23" s="115">
        <f>E23*(1+VLOOKUP('RPW Vol and Rev'!$K23,'Marketing Mail Volume Growth'!$B$22:$C$52,2,FALSE))</f>
        <v>146959657.58278266</v>
      </c>
      <c r="N23" s="115">
        <f>F23*(1+VLOOKUP('RPW Vol and Rev'!$K23,'Marketing Mail Volume Growth'!$B$22:$C$52,2,FALSE))</f>
        <v>148258717.5678809</v>
      </c>
      <c r="O23" s="115">
        <f>G23*(1+VLOOKUP('RPW Vol and Rev'!$K23,'Marketing Mail Volume Growth'!$B$22:$C$52,2,FALSE))</f>
        <v>247734428.05282643</v>
      </c>
      <c r="P23" s="81">
        <f t="shared" si="2"/>
        <v>634320874.20349</v>
      </c>
      <c r="Q23" s="42">
        <f t="shared" si="3"/>
        <v>0.010814819850839767</v>
      </c>
      <c r="S23" s="1" t="s">
        <v>11</v>
      </c>
      <c r="T23" s="114">
        <f>L23*(1+VLOOKUP($S23,'Marketing Mail Volume Growth'!$B$22:$C$50,2,FALSE))</f>
        <v>113380826.60604692</v>
      </c>
      <c r="U23" s="115">
        <f>M23*(1+VLOOKUP($S23,'Marketing Mail Volume Growth'!$B$22:$C$50,2,FALSE))</f>
        <v>182365757.22910368</v>
      </c>
      <c r="V23" s="115">
        <f>N23*(1+VLOOKUP($S23,'Marketing Mail Volume Growth'!$B$22:$C$50,2,FALSE))</f>
        <v>183977791.86340475</v>
      </c>
      <c r="W23" s="115">
        <f>O23*(1+VLOOKUP($S23,'Marketing Mail Volume Growth'!$B$22:$C$50,2,FALSE))</f>
        <v>307419582.3988198</v>
      </c>
      <c r="X23" s="81">
        <f t="shared" si="4"/>
        <v>787143958.0973752</v>
      </c>
      <c r="Y23" s="42">
        <f t="shared" si="5"/>
        <v>0.014952703461894807</v>
      </c>
      <c r="AA23" s="53"/>
      <c r="AB23" s="53"/>
      <c r="AC23" s="53"/>
      <c r="AD23" s="53"/>
      <c r="AE23" s="53"/>
      <c r="AF23" s="53"/>
      <c r="AG23" s="53"/>
      <c r="AH23" s="53"/>
      <c r="AI23" s="53"/>
      <c r="AJ23" s="45"/>
    </row>
    <row r="24" spans="1:36" ht="10.5" thickBot="1">
      <c r="A24" s="20">
        <f t="shared" si="6"/>
        <v>13</v>
      </c>
      <c r="B24" s="97" t="s">
        <v>72</v>
      </c>
      <c r="C24" s="98">
        <v>6616978</v>
      </c>
      <c r="D24" s="98">
        <v>3825191</v>
      </c>
      <c r="E24" s="99">
        <v>3501758</v>
      </c>
      <c r="F24" s="99">
        <v>3736397</v>
      </c>
      <c r="G24" s="99">
        <v>4464612</v>
      </c>
      <c r="H24" s="100">
        <f>SUM(D24:G24)</f>
        <v>15527958</v>
      </c>
      <c r="I24" s="101">
        <f t="shared" si="1"/>
        <v>0.00023627797852406073</v>
      </c>
      <c r="K24" s="97" t="s">
        <v>72</v>
      </c>
      <c r="L24" s="98">
        <v>3570368</v>
      </c>
      <c r="M24" s="117">
        <f>E24*(1+VLOOKUP('RPW Vol and Rev'!$K24,'Marketing Mail Volume Growth'!$B$22:$C$52,2,FALSE))</f>
        <v>2694512.5571938166</v>
      </c>
      <c r="N24" s="117">
        <f>F24*(1+VLOOKUP('RPW Vol and Rev'!$K24,'Marketing Mail Volume Growth'!$B$22:$C$52,2,FALSE))</f>
        <v>2875061.2221522173</v>
      </c>
      <c r="O24" s="117">
        <f>G24*(1+VLOOKUP('RPW Vol and Rev'!$K24,'Marketing Mail Volume Growth'!$B$22:$C$52,2,FALSE))</f>
        <v>3435403.9019824327</v>
      </c>
      <c r="P24" s="100">
        <f t="shared" si="2"/>
        <v>12575345.681328466</v>
      </c>
      <c r="Q24" s="101">
        <f t="shared" si="3"/>
        <v>0.00021440268425089605</v>
      </c>
      <c r="S24" s="97" t="s">
        <v>72</v>
      </c>
      <c r="T24" s="116">
        <f>L24*(1+VLOOKUP($S24,'Marketing Mail Volume Growth'!$B$22:$C$50,2,FALSE))</f>
        <v>2747306.1844373518</v>
      </c>
      <c r="U24" s="117">
        <f>M24*(1+VLOOKUP($S24,'Marketing Mail Volume Growth'!$B$22:$C$50,2,FALSE))</f>
        <v>2073357.9878664261</v>
      </c>
      <c r="V24" s="117">
        <f>N24*(1+VLOOKUP($S24,'Marketing Mail Volume Growth'!$B$22:$C$50,2,FALSE))</f>
        <v>2212285.53366342</v>
      </c>
      <c r="W24" s="117">
        <f>O24*(1+VLOOKUP($S24,'Marketing Mail Volume Growth'!$B$22:$C$50,2,FALSE))</f>
        <v>2643454.788401797</v>
      </c>
      <c r="X24" s="100">
        <f t="shared" si="4"/>
        <v>9676404.494368995</v>
      </c>
      <c r="Y24" s="101">
        <f t="shared" si="5"/>
        <v>0.00018381441602038795</v>
      </c>
      <c r="AA24" s="53"/>
      <c r="AB24" s="53"/>
      <c r="AC24" s="53"/>
      <c r="AD24" s="53"/>
      <c r="AE24" s="53"/>
      <c r="AF24" s="53"/>
      <c r="AG24" s="53"/>
      <c r="AH24" s="53"/>
      <c r="AI24" s="53"/>
      <c r="AJ24" s="45"/>
    </row>
    <row r="25" spans="1:31" ht="10.5" thickTop="1">
      <c r="A25" s="20">
        <f>A24+1</f>
        <v>14</v>
      </c>
      <c r="B25" s="1" t="s">
        <v>107</v>
      </c>
      <c r="C25" s="12">
        <f>SUM(C11:C24)</f>
        <v>15496390843</v>
      </c>
      <c r="D25" s="12">
        <f>SUM(D11:D24)</f>
        <v>13232907527</v>
      </c>
      <c r="E25" s="13">
        <f>SUM(E11:E24)</f>
        <v>13494464435</v>
      </c>
      <c r="F25" s="13">
        <f>SUM(F11:F24)</f>
        <v>13414819845</v>
      </c>
      <c r="G25" s="13">
        <f>SUM(G11:G24)</f>
        <v>14023248918</v>
      </c>
      <c r="H25" s="13">
        <f>SUM(D25:G25)</f>
        <v>54165440725</v>
      </c>
      <c r="I25" s="42">
        <f t="shared" si="1"/>
        <v>0.8241972859771924</v>
      </c>
      <c r="K25" s="1" t="s">
        <v>51</v>
      </c>
      <c r="L25" s="12">
        <f>SUM(L11:L24)</f>
        <v>11655799288</v>
      </c>
      <c r="M25" s="13">
        <f>SUM(M11:M24)</f>
        <v>12097883278.554482</v>
      </c>
      <c r="N25" s="13">
        <f>SUM(N11:N24)</f>
        <v>12024524100.628895</v>
      </c>
      <c r="O25" s="13">
        <f>SUM(O11:O24)</f>
        <v>12613789073.83794</v>
      </c>
      <c r="P25" s="13">
        <f>SUM(L25:O25)</f>
        <v>48391995741.02132</v>
      </c>
      <c r="Q25" s="42">
        <f t="shared" si="3"/>
        <v>0.8250567456398415</v>
      </c>
      <c r="S25" s="1" t="s">
        <v>51</v>
      </c>
      <c r="T25" s="12">
        <f>SUM(T11:T24)</f>
        <v>10459567695.37206</v>
      </c>
      <c r="U25" s="13">
        <f>SUM(U11:U24)</f>
        <v>10906197193.42241</v>
      </c>
      <c r="V25" s="13">
        <f>SUM(V11:V24)</f>
        <v>10838443056.454605</v>
      </c>
      <c r="W25" s="13">
        <f>SUM(W11:W24)</f>
        <v>11417807738.5957</v>
      </c>
      <c r="X25" s="13">
        <f t="shared" si="4"/>
        <v>43622015683.84477</v>
      </c>
      <c r="Y25" s="42">
        <f t="shared" si="5"/>
        <v>0.8286502846407738</v>
      </c>
      <c r="AA25" s="45"/>
      <c r="AB25" s="45"/>
      <c r="AC25" s="45"/>
      <c r="AD25" s="45"/>
      <c r="AE25" s="45"/>
    </row>
    <row r="26" spans="3:25" ht="9.75">
      <c r="C26" s="9"/>
      <c r="D26" s="12"/>
      <c r="E26" s="13"/>
      <c r="F26" s="7"/>
      <c r="G26" s="7"/>
      <c r="H26" s="7"/>
      <c r="I26" s="14"/>
      <c r="L26" s="12"/>
      <c r="M26" s="13"/>
      <c r="N26" s="7"/>
      <c r="O26" s="7"/>
      <c r="P26" s="7"/>
      <c r="Q26" s="14"/>
      <c r="T26" s="12"/>
      <c r="U26" s="13"/>
      <c r="V26" s="7"/>
      <c r="W26" s="7"/>
      <c r="X26" s="7"/>
      <c r="Y26" s="14"/>
    </row>
    <row r="27" spans="2:25" ht="9.75">
      <c r="B27" s="5" t="s">
        <v>49</v>
      </c>
      <c r="C27" s="142"/>
      <c r="D27" s="9"/>
      <c r="E27" s="7"/>
      <c r="F27" s="7"/>
      <c r="G27" s="7"/>
      <c r="H27" s="7"/>
      <c r="I27" s="14"/>
      <c r="K27" s="5" t="s">
        <v>49</v>
      </c>
      <c r="L27" s="9"/>
      <c r="M27" s="7"/>
      <c r="N27" s="7"/>
      <c r="O27" s="7"/>
      <c r="P27" s="7"/>
      <c r="Q27" s="14"/>
      <c r="S27" s="5" t="s">
        <v>49</v>
      </c>
      <c r="T27" s="9"/>
      <c r="U27" s="7"/>
      <c r="V27" s="7"/>
      <c r="W27" s="7"/>
      <c r="X27" s="7"/>
      <c r="Y27" s="14"/>
    </row>
    <row r="28" spans="1:30" ht="9.75">
      <c r="A28" s="20">
        <f>A25+1</f>
        <v>15</v>
      </c>
      <c r="B28" s="1" t="s">
        <v>73</v>
      </c>
      <c r="C28" s="84">
        <v>2614286775</v>
      </c>
      <c r="D28" s="84">
        <v>2047400585</v>
      </c>
      <c r="E28" s="85">
        <v>1997411548</v>
      </c>
      <c r="F28" s="85">
        <v>2136064072</v>
      </c>
      <c r="G28" s="85">
        <v>2740242154</v>
      </c>
      <c r="H28" s="81">
        <f>SUM(D28:G28)</f>
        <v>8921118359</v>
      </c>
      <c r="I28" s="42">
        <f aca="true" t="shared" si="7" ref="I28:I42">H28/$H$43</f>
        <v>0.13574636227367473</v>
      </c>
      <c r="K28" s="1" t="s">
        <v>73</v>
      </c>
      <c r="L28" s="84">
        <v>1910253959</v>
      </c>
      <c r="M28" s="115">
        <f>E28*(1+VLOOKUP('RPW Vol and Rev'!$K28,'Marketing Mail Volume Growth'!$B$22:$C$52,2,FALSE))</f>
        <v>1717275826.7523832</v>
      </c>
      <c r="N28" s="115">
        <f>F28*(1+VLOOKUP('RPW Vol and Rev'!$K28,'Marketing Mail Volume Growth'!$B$22:$C$52,2,FALSE))</f>
        <v>1836482420.9176257</v>
      </c>
      <c r="O28" s="115">
        <f>G28*(1+VLOOKUP('RPW Vol and Rev'!$K28,'Marketing Mail Volume Growth'!$B$22:$C$52,2,FALSE))</f>
        <v>2355924904.5215197</v>
      </c>
      <c r="P28" s="81">
        <f>SUM(L28:O28)</f>
        <v>7819937111.191528</v>
      </c>
      <c r="Q28" s="42">
        <f>P28/$P$43</f>
        <v>0.133325599931782</v>
      </c>
      <c r="S28" s="1" t="s">
        <v>73</v>
      </c>
      <c r="T28" s="114">
        <f>L28*(1+VLOOKUP($S28,'Marketing Mail Volume Growth'!$B$22:$C$50,2,FALSE))</f>
        <v>1642342035.1371365</v>
      </c>
      <c r="U28" s="115">
        <f>M28*(1+VLOOKUP($S28,'Marketing Mail Volume Growth'!$B$22:$C$50,2,FALSE))</f>
        <v>1476428965.3281214</v>
      </c>
      <c r="V28" s="115">
        <f>N28*(1+VLOOKUP($S28,'Marketing Mail Volume Growth'!$B$22:$C$50,2,FALSE))</f>
        <v>1578916909.164447</v>
      </c>
      <c r="W28" s="115">
        <f>O28*(1+VLOOKUP($S28,'Marketing Mail Volume Growth'!$B$22:$C$50,2,FALSE))</f>
        <v>2025507909.088509</v>
      </c>
      <c r="X28" s="81">
        <f aca="true" t="shared" si="8" ref="X28:X42">SUM(T28:W28)</f>
        <v>6723195818.718214</v>
      </c>
      <c r="Y28" s="42">
        <f aca="true" t="shared" si="9" ref="Y28:Y42">X28/$X$43</f>
        <v>0.1277148256800928</v>
      </c>
      <c r="AA28" s="45"/>
      <c r="AB28" s="45"/>
      <c r="AC28" s="45"/>
      <c r="AD28" s="45"/>
    </row>
    <row r="29" spans="1:30" ht="9.75">
      <c r="A29" s="20">
        <f>A28+1</f>
        <v>16</v>
      </c>
      <c r="B29" s="1" t="s">
        <v>74</v>
      </c>
      <c r="C29" s="84">
        <v>249612358</v>
      </c>
      <c r="D29" s="84">
        <v>184399247</v>
      </c>
      <c r="E29" s="85">
        <v>197976329</v>
      </c>
      <c r="F29" s="85">
        <v>229661045</v>
      </c>
      <c r="G29" s="85">
        <v>257277235</v>
      </c>
      <c r="H29" s="81">
        <f aca="true" t="shared" si="10" ref="H29:H41">SUM(D29:G29)</f>
        <v>869313856</v>
      </c>
      <c r="I29" s="42">
        <f t="shared" si="7"/>
        <v>0.013227735456177588</v>
      </c>
      <c r="K29" s="1" t="s">
        <v>74</v>
      </c>
      <c r="L29" s="84">
        <v>144667860</v>
      </c>
      <c r="M29" s="115">
        <f>E29*(1+VLOOKUP('RPW Vol and Rev'!$K29,'Marketing Mail Volume Growth'!$B$22:$C$52,2,FALSE))</f>
        <v>161589028.1475581</v>
      </c>
      <c r="N29" s="115">
        <f>F29*(1+VLOOKUP('RPW Vol and Rev'!$K29,'Marketing Mail Volume Growth'!$B$22:$C$52,2,FALSE))</f>
        <v>187450213.125745</v>
      </c>
      <c r="O29" s="115">
        <f>G29*(1+VLOOKUP('RPW Vol and Rev'!$K29,'Marketing Mail Volume Growth'!$B$22:$C$52,2,FALSE))</f>
        <v>209990651.80232188</v>
      </c>
      <c r="P29" s="81">
        <f aca="true" t="shared" si="11" ref="P29:P41">SUM(L29:O29)</f>
        <v>703697753.075625</v>
      </c>
      <c r="Q29" s="42">
        <f aca="true" t="shared" si="12" ref="Q29:Q42">P29/$P$43</f>
        <v>0.011997657240130813</v>
      </c>
      <c r="S29" s="1" t="s">
        <v>74</v>
      </c>
      <c r="T29" s="114">
        <f>L29*(1+VLOOKUP($S29,'Marketing Mail Volume Growth'!$B$22:$C$50,2,FALSE))</f>
        <v>118078454.22564127</v>
      </c>
      <c r="U29" s="115">
        <f>M29*(1+VLOOKUP($S29,'Marketing Mail Volume Growth'!$B$22:$C$50,2,FALSE))</f>
        <v>131889575.63544035</v>
      </c>
      <c r="V29" s="115">
        <f>N29*(1+VLOOKUP($S29,'Marketing Mail Volume Growth'!$B$22:$C$50,2,FALSE))</f>
        <v>152997572.5786984</v>
      </c>
      <c r="W29" s="115">
        <f>O29*(1+VLOOKUP($S29,'Marketing Mail Volume Growth'!$B$22:$C$50,2,FALSE))</f>
        <v>171395163.8370336</v>
      </c>
      <c r="X29" s="81">
        <f t="shared" si="8"/>
        <v>574360766.2768136</v>
      </c>
      <c r="Y29" s="42">
        <f t="shared" si="9"/>
        <v>0.010910642367176043</v>
      </c>
      <c r="AA29" s="45"/>
      <c r="AB29" s="45"/>
      <c r="AC29" s="45"/>
      <c r="AD29" s="45"/>
    </row>
    <row r="30" spans="1:30" ht="9.75">
      <c r="A30" s="20">
        <f>A29+1</f>
        <v>17</v>
      </c>
      <c r="B30" s="1" t="s">
        <v>75</v>
      </c>
      <c r="C30" s="84">
        <v>573883</v>
      </c>
      <c r="D30" s="84">
        <v>555239</v>
      </c>
      <c r="E30" s="85">
        <v>683458</v>
      </c>
      <c r="F30" s="85">
        <v>806561</v>
      </c>
      <c r="G30" s="85">
        <v>1456994</v>
      </c>
      <c r="H30" s="81">
        <f t="shared" si="10"/>
        <v>3502252</v>
      </c>
      <c r="I30" s="42">
        <f t="shared" si="7"/>
        <v>5.3291297081164744E-05</v>
      </c>
      <c r="K30" s="1" t="s">
        <v>75</v>
      </c>
      <c r="L30" s="84">
        <v>321335</v>
      </c>
      <c r="M30" s="115">
        <f>E30*(1+VLOOKUP('RPW Vol and Rev'!$K30,'Marketing Mail Volume Growth'!$B$22:$C$52,2,FALSE))</f>
        <v>626447.3998991463</v>
      </c>
      <c r="N30" s="115">
        <f>F30*(1+VLOOKUP('RPW Vol and Rev'!$K30,'Marketing Mail Volume Growth'!$B$22:$C$52,2,FALSE))</f>
        <v>739281.7719743648</v>
      </c>
      <c r="O30" s="115">
        <f>G30*(1+VLOOKUP('RPW Vol and Rev'!$K30,'Marketing Mail Volume Growth'!$B$22:$C$52,2,FALSE))</f>
        <v>1335458.9498822996</v>
      </c>
      <c r="P30" s="81">
        <f t="shared" si="11"/>
        <v>3022523.1217558105</v>
      </c>
      <c r="Q30" s="42">
        <f t="shared" si="12"/>
        <v>5.1532346460823864E-05</v>
      </c>
      <c r="S30" s="1" t="s">
        <v>75</v>
      </c>
      <c r="T30" s="114">
        <f>L30*(1+VLOOKUP($S30,'Marketing Mail Volume Growth'!$B$22:$C$50,2,FALSE))</f>
        <v>294530.8639983615</v>
      </c>
      <c r="U30" s="115">
        <f>M30*(1+VLOOKUP($S30,'Marketing Mail Volume Growth'!$B$22:$C$50,2,FALSE))</f>
        <v>574192.3349209474</v>
      </c>
      <c r="V30" s="115">
        <f>N30*(1+VLOOKUP($S30,'Marketing Mail Volume Growth'!$B$22:$C$50,2,FALSE))</f>
        <v>677614.6359339921</v>
      </c>
      <c r="W30" s="115">
        <f>O30*(1+VLOOKUP($S30,'Marketing Mail Volume Growth'!$B$22:$C$50,2,FALSE))</f>
        <v>1224061.7372622911</v>
      </c>
      <c r="X30" s="81">
        <f t="shared" si="8"/>
        <v>2770399.572115592</v>
      </c>
      <c r="Y30" s="42">
        <f t="shared" si="9"/>
        <v>5.262692147562689E-05</v>
      </c>
      <c r="AA30" s="45"/>
      <c r="AB30" s="45"/>
      <c r="AC30" s="45"/>
      <c r="AD30" s="45"/>
    </row>
    <row r="31" spans="1:30" ht="9.75">
      <c r="A31" s="20">
        <f>A30+1</f>
        <v>18</v>
      </c>
      <c r="B31" s="1" t="s">
        <v>76</v>
      </c>
      <c r="C31" s="84">
        <v>104455629</v>
      </c>
      <c r="D31" s="84">
        <v>45619642</v>
      </c>
      <c r="E31" s="85">
        <v>67948347</v>
      </c>
      <c r="F31" s="85">
        <v>122717547</v>
      </c>
      <c r="G31" s="85">
        <v>237453806</v>
      </c>
      <c r="H31" s="81">
        <f t="shared" si="10"/>
        <v>473739342</v>
      </c>
      <c r="I31" s="42">
        <f t="shared" si="7"/>
        <v>0.00720855724075752</v>
      </c>
      <c r="K31" s="1" t="s">
        <v>76</v>
      </c>
      <c r="L31" s="84">
        <v>50927938</v>
      </c>
      <c r="M31" s="115">
        <f>E31*(1+VLOOKUP('RPW Vol and Rev'!$K31,'Marketing Mail Volume Growth'!$B$22:$C$52,2,FALSE))</f>
        <v>63076875.554323554</v>
      </c>
      <c r="N31" s="115">
        <f>F31*(1+VLOOKUP('RPW Vol and Rev'!$K31,'Marketing Mail Volume Growth'!$B$22:$C$52,2,FALSE))</f>
        <v>113919466.5096246</v>
      </c>
      <c r="O31" s="115">
        <f>G31*(1+VLOOKUP('RPW Vol and Rev'!$K31,'Marketing Mail Volume Growth'!$B$22:$C$52,2,FALSE))</f>
        <v>220429853.44385916</v>
      </c>
      <c r="P31" s="81">
        <f t="shared" si="11"/>
        <v>448354133.5078073</v>
      </c>
      <c r="Q31" s="42">
        <f t="shared" si="12"/>
        <v>0.007644189842175651</v>
      </c>
      <c r="S31" s="1" t="s">
        <v>76</v>
      </c>
      <c r="T31" s="114">
        <f>L31*(1+VLOOKUP($S31,'Marketing Mail Volume Growth'!$B$22:$C$50,2,FALSE))</f>
        <v>47276723.4126285</v>
      </c>
      <c r="U31" s="115">
        <f>M31*(1+VLOOKUP($S31,'Marketing Mail Volume Growth'!$B$22:$C$50,2,FALSE))</f>
        <v>58554658.13900698</v>
      </c>
      <c r="V31" s="115">
        <f>N31*(1+VLOOKUP($S31,'Marketing Mail Volume Growth'!$B$22:$C$50,2,FALSE))</f>
        <v>105752153.35617393</v>
      </c>
      <c r="W31" s="115">
        <f>O31*(1+VLOOKUP($S31,'Marketing Mail Volume Growth'!$B$22:$C$50,2,FALSE))</f>
        <v>204626411.7968327</v>
      </c>
      <c r="X31" s="81">
        <f t="shared" si="8"/>
        <v>416209946.7046421</v>
      </c>
      <c r="Y31" s="42">
        <f t="shared" si="9"/>
        <v>0.007906385924638793</v>
      </c>
      <c r="AA31" s="45"/>
      <c r="AB31" s="45"/>
      <c r="AC31" s="45"/>
      <c r="AD31" s="45"/>
    </row>
    <row r="32" spans="1:30" ht="9.75" hidden="1">
      <c r="A32" s="20">
        <f aca="true" t="shared" si="13" ref="A32:A43">A31+1</f>
        <v>19</v>
      </c>
      <c r="B32" s="1" t="s">
        <v>77</v>
      </c>
      <c r="C32" s="84">
        <v>0</v>
      </c>
      <c r="D32" s="84">
        <v>0</v>
      </c>
      <c r="E32" s="85">
        <v>0</v>
      </c>
      <c r="F32" s="85">
        <v>0</v>
      </c>
      <c r="G32" s="85">
        <v>0</v>
      </c>
      <c r="H32" s="81">
        <f t="shared" si="10"/>
        <v>0</v>
      </c>
      <c r="I32" s="42">
        <f t="shared" si="7"/>
        <v>0</v>
      </c>
      <c r="K32" s="1" t="s">
        <v>77</v>
      </c>
      <c r="L32" s="84">
        <v>0</v>
      </c>
      <c r="M32" s="115">
        <v>0</v>
      </c>
      <c r="N32" s="115">
        <v>0</v>
      </c>
      <c r="O32" s="115">
        <v>0</v>
      </c>
      <c r="P32" s="81">
        <f t="shared" si="11"/>
        <v>0</v>
      </c>
      <c r="Q32" s="42">
        <f t="shared" si="12"/>
        <v>0</v>
      </c>
      <c r="S32" s="1" t="s">
        <v>77</v>
      </c>
      <c r="T32" s="114">
        <v>0</v>
      </c>
      <c r="U32" s="115">
        <v>0</v>
      </c>
      <c r="V32" s="115">
        <v>0</v>
      </c>
      <c r="W32" s="115">
        <v>0</v>
      </c>
      <c r="X32" s="81">
        <v>0</v>
      </c>
      <c r="Y32" s="42">
        <f t="shared" si="9"/>
        <v>0</v>
      </c>
      <c r="AA32" s="45"/>
      <c r="AB32" s="45"/>
      <c r="AC32" s="45"/>
      <c r="AD32" s="45"/>
    </row>
    <row r="33" spans="1:30" ht="9.75">
      <c r="A33" s="20">
        <f>A31+1</f>
        <v>19</v>
      </c>
      <c r="B33" s="1" t="s">
        <v>78</v>
      </c>
      <c r="C33" s="84">
        <v>58805928</v>
      </c>
      <c r="D33" s="84">
        <v>61137342</v>
      </c>
      <c r="E33" s="85">
        <v>52185165</v>
      </c>
      <c r="F33" s="85">
        <v>57837633</v>
      </c>
      <c r="G33" s="85">
        <v>60781890</v>
      </c>
      <c r="H33" s="81">
        <f t="shared" si="10"/>
        <v>231942030</v>
      </c>
      <c r="I33" s="42">
        <f t="shared" si="7"/>
        <v>0.0035292981848074967</v>
      </c>
      <c r="K33" s="1" t="s">
        <v>78</v>
      </c>
      <c r="L33" s="84">
        <v>56728869</v>
      </c>
      <c r="M33" s="115">
        <f>E33*(1+VLOOKUP('RPW Vol and Rev'!$K33,'Marketing Mail Volume Growth'!$B$22:$C$52,2,FALSE))</f>
        <v>50124214.34978896</v>
      </c>
      <c r="N33" s="115">
        <f>F33*(1+VLOOKUP('RPW Vol and Rev'!$K33,'Marketing Mail Volume Growth'!$B$22:$C$52,2,FALSE))</f>
        <v>55553449.22213866</v>
      </c>
      <c r="O33" s="115">
        <f>G33*(1+VLOOKUP('RPW Vol and Rev'!$K33,'Marketing Mail Volume Growth'!$B$22:$C$52,2,FALSE))</f>
        <v>58381428.57161214</v>
      </c>
      <c r="P33" s="81">
        <f t="shared" si="11"/>
        <v>220787961.14353976</v>
      </c>
      <c r="Q33" s="42">
        <f t="shared" si="12"/>
        <v>0.0037643125460752104</v>
      </c>
      <c r="S33" s="1" t="s">
        <v>78</v>
      </c>
      <c r="T33" s="114">
        <f>L33*(1+VLOOKUP($S33,'Marketing Mail Volume Growth'!$B$22:$C$50,2,FALSE))</f>
        <v>54488473.67977275</v>
      </c>
      <c r="U33" s="115">
        <f>M33*(1+VLOOKUP($S33,'Marketing Mail Volume Growth'!$B$22:$C$50,2,FALSE))</f>
        <v>48144656.89978348</v>
      </c>
      <c r="V33" s="115">
        <f>N33*(1+VLOOKUP($S33,'Marketing Mail Volume Growth'!$B$22:$C$50,2,FALSE))</f>
        <v>53359474.798644304</v>
      </c>
      <c r="W33" s="115">
        <f>O33*(1+VLOOKUP($S33,'Marketing Mail Volume Growth'!$B$22:$C$50,2,FALSE))</f>
        <v>56075768.65514137</v>
      </c>
      <c r="X33" s="81">
        <f t="shared" si="8"/>
        <v>212068374.03334188</v>
      </c>
      <c r="Y33" s="42">
        <f t="shared" si="9"/>
        <v>0.004028482309934061</v>
      </c>
      <c r="AA33" s="45"/>
      <c r="AB33" s="45"/>
      <c r="AC33" s="45"/>
      <c r="AD33" s="45"/>
    </row>
    <row r="34" spans="1:30" ht="9.75">
      <c r="A34" s="20">
        <f t="shared" si="13"/>
        <v>20</v>
      </c>
      <c r="B34" s="1" t="s">
        <v>79</v>
      </c>
      <c r="C34" s="84">
        <v>41173328</v>
      </c>
      <c r="D34" s="84">
        <v>53491444</v>
      </c>
      <c r="E34" s="85">
        <v>57637540</v>
      </c>
      <c r="F34" s="85">
        <v>56970911</v>
      </c>
      <c r="G34" s="85">
        <v>65997629</v>
      </c>
      <c r="H34" s="81">
        <f t="shared" si="10"/>
        <v>234097524</v>
      </c>
      <c r="I34" s="42">
        <f t="shared" si="7"/>
        <v>0.0035620968158342385</v>
      </c>
      <c r="K34" s="1" t="s">
        <v>79</v>
      </c>
      <c r="L34" s="84">
        <v>54330156</v>
      </c>
      <c r="M34" s="115">
        <f>E34*(1+VLOOKUP('RPW Vol and Rev'!$K34,'Marketing Mail Volume Growth'!$B$22:$C$52,2,FALSE))</f>
        <v>54843263.580816075</v>
      </c>
      <c r="N34" s="115">
        <f>F34*(1+VLOOKUP('RPW Vol and Rev'!$K34,'Marketing Mail Volume Growth'!$B$22:$C$52,2,FALSE))</f>
        <v>54208952.85281457</v>
      </c>
      <c r="O34" s="115">
        <f>G34*(1+VLOOKUP('RPW Vol and Rev'!$K34,'Marketing Mail Volume Growth'!$B$22:$C$52,2,FALSE))</f>
        <v>62798054.23610916</v>
      </c>
      <c r="P34" s="81">
        <f t="shared" si="11"/>
        <v>226180426.6697398</v>
      </c>
      <c r="Q34" s="42">
        <f t="shared" si="12"/>
        <v>0.003856251098926632</v>
      </c>
      <c r="S34" s="1" t="s">
        <v>79</v>
      </c>
      <c r="T34" s="114">
        <f>L34*(1+VLOOKUP($S34,'Marketing Mail Volume Growth'!$B$22:$C$50,2,FALSE))</f>
        <v>51696222.04373844</v>
      </c>
      <c r="U34" s="115">
        <f>M34*(1+VLOOKUP($S34,'Marketing Mail Volume Growth'!$B$22:$C$50,2,FALSE))</f>
        <v>52184454.09354506</v>
      </c>
      <c r="V34" s="115">
        <f>N34*(1+VLOOKUP($S34,'Marketing Mail Volume Growth'!$B$22:$C$50,2,FALSE))</f>
        <v>51580894.8429607</v>
      </c>
      <c r="W34" s="115">
        <f>O34*(1+VLOOKUP($S34,'Marketing Mail Volume Growth'!$B$22:$C$50,2,FALSE))</f>
        <v>59753595.32751256</v>
      </c>
      <c r="X34" s="81">
        <f t="shared" si="8"/>
        <v>215215166.30775678</v>
      </c>
      <c r="Y34" s="42">
        <f t="shared" si="9"/>
        <v>0.004088259243049626</v>
      </c>
      <c r="AA34" s="45"/>
      <c r="AB34" s="45"/>
      <c r="AC34" s="45"/>
      <c r="AD34" s="45"/>
    </row>
    <row r="35" spans="1:30" ht="9.75">
      <c r="A35" s="20">
        <f t="shared" si="13"/>
        <v>21</v>
      </c>
      <c r="B35" s="1" t="s">
        <v>80</v>
      </c>
      <c r="C35" s="84">
        <v>8900795</v>
      </c>
      <c r="D35" s="84">
        <v>4854821</v>
      </c>
      <c r="E35" s="85">
        <v>7052732</v>
      </c>
      <c r="F35" s="85">
        <v>7313346</v>
      </c>
      <c r="G35" s="85">
        <v>9152804</v>
      </c>
      <c r="H35" s="81">
        <f t="shared" si="10"/>
        <v>28373703</v>
      </c>
      <c r="I35" s="42">
        <f t="shared" si="7"/>
        <v>0.00043174261471354297</v>
      </c>
      <c r="K35" s="1" t="s">
        <v>80</v>
      </c>
      <c r="L35" s="84">
        <v>4155238</v>
      </c>
      <c r="M35" s="115">
        <f>E35*(1+VLOOKUP('RPW Vol and Rev'!$K35,'Marketing Mail Volume Growth'!$B$22:$C$52,2,FALSE))</f>
        <v>6607184.005070736</v>
      </c>
      <c r="N35" s="115">
        <f>F35*(1+VLOOKUP('RPW Vol and Rev'!$K35,'Marketing Mail Volume Growth'!$B$22:$C$52,2,FALSE))</f>
        <v>6851334.024141006</v>
      </c>
      <c r="O35" s="115">
        <f>G35*(1+VLOOKUP('RPW Vol and Rev'!$K35,'Marketing Mail Volume Growth'!$B$22:$C$52,2,FALSE))</f>
        <v>8574586.44257962</v>
      </c>
      <c r="P35" s="81">
        <f t="shared" si="11"/>
        <v>26188342.47179136</v>
      </c>
      <c r="Q35" s="42">
        <f t="shared" si="12"/>
        <v>0.0004464967456417992</v>
      </c>
      <c r="S35" s="1" t="s">
        <v>80</v>
      </c>
      <c r="T35" s="114">
        <f>L35*(1+VLOOKUP($S35,'Marketing Mail Volume Growth'!$B$22:$C$50,2,FALSE))</f>
        <v>3892735.7584071127</v>
      </c>
      <c r="U35" s="115">
        <f>M35*(1+VLOOKUP($S35,'Marketing Mail Volume Growth'!$B$22:$C$50,2,FALSE))</f>
        <v>6189782.97727215</v>
      </c>
      <c r="V35" s="115">
        <f>N35*(1+VLOOKUP($S35,'Marketing Mail Volume Growth'!$B$22:$C$50,2,FALSE))</f>
        <v>6418509.107917524</v>
      </c>
      <c r="W35" s="115">
        <f>O35*(1+VLOOKUP($S35,'Marketing Mail Volume Growth'!$B$22:$C$50,2,FALSE))</f>
        <v>8032897.094843309</v>
      </c>
      <c r="X35" s="81">
        <f t="shared" si="8"/>
        <v>24533924.938440096</v>
      </c>
      <c r="Y35" s="42">
        <f t="shared" si="9"/>
        <v>0.00046605007964184723</v>
      </c>
      <c r="AA35" s="45"/>
      <c r="AB35" s="45"/>
      <c r="AC35" s="45"/>
      <c r="AD35" s="45"/>
    </row>
    <row r="36" spans="1:30" ht="9.75">
      <c r="A36" s="20">
        <f t="shared" si="13"/>
        <v>22</v>
      </c>
      <c r="B36" s="1" t="s">
        <v>81</v>
      </c>
      <c r="C36" s="84">
        <v>62161948</v>
      </c>
      <c r="D36" s="84">
        <v>57916487</v>
      </c>
      <c r="E36" s="85">
        <v>50480253</v>
      </c>
      <c r="F36" s="85">
        <v>52829664</v>
      </c>
      <c r="G36" s="85">
        <v>57228684</v>
      </c>
      <c r="H36" s="81">
        <f t="shared" si="10"/>
        <v>218455088</v>
      </c>
      <c r="I36" s="42">
        <f t="shared" si="7"/>
        <v>0.0033240769063733813</v>
      </c>
      <c r="K36" s="1" t="s">
        <v>81</v>
      </c>
      <c r="L36" s="84">
        <v>49129085</v>
      </c>
      <c r="M36" s="115">
        <f>E36*(1+VLOOKUP('RPW Vol and Rev'!$K36,'Marketing Mail Volume Growth'!$B$22:$C$52,2,FALSE))</f>
        <v>50733355.80108623</v>
      </c>
      <c r="N36" s="115">
        <f>F36*(1+VLOOKUP('RPW Vol and Rev'!$K36,'Marketing Mail Volume Growth'!$B$22:$C$52,2,FALSE))</f>
        <v>53094546.50640987</v>
      </c>
      <c r="O36" s="115">
        <f>G36*(1+VLOOKUP('RPW Vol and Rev'!$K36,'Marketing Mail Volume Growth'!$B$22:$C$52,2,FALSE))</f>
        <v>57515622.74063743</v>
      </c>
      <c r="P36" s="81">
        <f t="shared" si="11"/>
        <v>210472610.04813352</v>
      </c>
      <c r="Q36" s="42">
        <f t="shared" si="12"/>
        <v>0.003588441518757902</v>
      </c>
      <c r="S36" s="1" t="s">
        <v>81</v>
      </c>
      <c r="T36" s="114">
        <f>L36*(1+VLOOKUP($S36,'Marketing Mail Volume Growth'!$B$22:$C$50,2,FALSE))</f>
        <v>49375413.183583066</v>
      </c>
      <c r="U36" s="115">
        <f>M36*(1+VLOOKUP($S36,'Marketing Mail Volume Growth'!$B$22:$C$50,2,FALSE))</f>
        <v>50987727.63360774</v>
      </c>
      <c r="V36" s="115">
        <f>N36*(1+VLOOKUP($S36,'Marketing Mail Volume Growth'!$B$22:$C$50,2,FALSE))</f>
        <v>53360757.106487</v>
      </c>
      <c r="W36" s="115">
        <f>O36*(1+VLOOKUP($S36,'Marketing Mail Volume Growth'!$B$22:$C$50,2,FALSE))</f>
        <v>57804000.16263399</v>
      </c>
      <c r="X36" s="81">
        <f t="shared" si="8"/>
        <v>211527898.0863118</v>
      </c>
      <c r="Y36" s="42">
        <f t="shared" si="9"/>
        <v>0.004018215348622738</v>
      </c>
      <c r="AA36" s="45"/>
      <c r="AB36" s="45"/>
      <c r="AC36" s="45"/>
      <c r="AD36" s="45"/>
    </row>
    <row r="37" spans="1:30" ht="9.75">
      <c r="A37" s="20">
        <f t="shared" si="13"/>
        <v>23</v>
      </c>
      <c r="B37" s="1" t="s">
        <v>82</v>
      </c>
      <c r="C37" s="84">
        <v>19993676</v>
      </c>
      <c r="D37" s="84">
        <v>7413467</v>
      </c>
      <c r="E37" s="85">
        <v>16485764</v>
      </c>
      <c r="F37" s="85">
        <v>25878289</v>
      </c>
      <c r="G37" s="85">
        <v>90200534</v>
      </c>
      <c r="H37" s="81">
        <f t="shared" si="10"/>
        <v>139978054</v>
      </c>
      <c r="I37" s="42">
        <f t="shared" si="7"/>
        <v>0.002129947262663372</v>
      </c>
      <c r="K37" s="1" t="s">
        <v>82</v>
      </c>
      <c r="L37" s="84">
        <v>8827160</v>
      </c>
      <c r="M37" s="115">
        <f>E37*(1+VLOOKUP('RPW Vol and Rev'!$K37,'Marketing Mail Volume Growth'!$B$22:$C$52,2,FALSE))</f>
        <v>14745079.436300946</v>
      </c>
      <c r="N37" s="115">
        <f>F37*(1+VLOOKUP('RPW Vol and Rev'!$K37,'Marketing Mail Volume Growth'!$B$22:$C$52,2,FALSE))</f>
        <v>23145874.645576205</v>
      </c>
      <c r="O37" s="115">
        <f>G37*(1+VLOOKUP('RPW Vol and Rev'!$K37,'Marketing Mail Volume Growth'!$B$22:$C$52,2,FALSE))</f>
        <v>80676518.17815445</v>
      </c>
      <c r="P37" s="81">
        <f t="shared" si="11"/>
        <v>127394632.26003161</v>
      </c>
      <c r="Q37" s="42">
        <f t="shared" si="12"/>
        <v>0.0021720079755947618</v>
      </c>
      <c r="S37" s="1" t="s">
        <v>82</v>
      </c>
      <c r="T37" s="114">
        <f>L37*(1+VLOOKUP($S37,'Marketing Mail Volume Growth'!$B$22:$C$50,2,FALSE))</f>
        <v>7895125.478985279</v>
      </c>
      <c r="U37" s="115">
        <f>M37*(1+VLOOKUP($S37,'Marketing Mail Volume Growth'!$B$22:$C$50,2,FALSE))</f>
        <v>13188188.765945274</v>
      </c>
      <c r="V37" s="115">
        <f>N37*(1+VLOOKUP($S37,'Marketing Mail Volume Growth'!$B$22:$C$50,2,FALSE))</f>
        <v>20701968.09026777</v>
      </c>
      <c r="W37" s="115">
        <f>O37*(1+VLOOKUP($S37,'Marketing Mail Volume Growth'!$B$22:$C$50,2,FALSE))</f>
        <v>72158115.88598895</v>
      </c>
      <c r="X37" s="81">
        <f t="shared" si="8"/>
        <v>113943398.22118728</v>
      </c>
      <c r="Y37" s="42">
        <f t="shared" si="9"/>
        <v>0.0021644857049531448</v>
      </c>
      <c r="AA37" s="45"/>
      <c r="AB37" s="45"/>
      <c r="AC37" s="45"/>
      <c r="AD37" s="45"/>
    </row>
    <row r="38" spans="1:30" ht="9.75">
      <c r="A38" s="20">
        <f t="shared" si="13"/>
        <v>24</v>
      </c>
      <c r="B38" s="1" t="s">
        <v>83</v>
      </c>
      <c r="C38" s="84">
        <v>14667647</v>
      </c>
      <c r="D38" s="84">
        <v>5583518</v>
      </c>
      <c r="E38" s="85">
        <v>13102718</v>
      </c>
      <c r="F38" s="85">
        <v>50818538</v>
      </c>
      <c r="G38" s="85">
        <v>120544075</v>
      </c>
      <c r="H38" s="81">
        <f t="shared" si="10"/>
        <v>190048849</v>
      </c>
      <c r="I38" s="42">
        <f t="shared" si="7"/>
        <v>0.002891839214309084</v>
      </c>
      <c r="K38" s="1" t="s">
        <v>83</v>
      </c>
      <c r="L38" s="84">
        <v>5635733</v>
      </c>
      <c r="M38" s="115">
        <f>E38*(1+VLOOKUP('RPW Vol and Rev'!$K38,'Marketing Mail Volume Growth'!$B$22:$C$52,2,FALSE))</f>
        <v>13765250.870161172</v>
      </c>
      <c r="N38" s="115">
        <f>F38*(1+VLOOKUP('RPW Vol and Rev'!$K38,'Marketing Mail Volume Growth'!$B$22:$C$52,2,FALSE))</f>
        <v>53388153.84905778</v>
      </c>
      <c r="O38" s="115">
        <f>G38*(1+VLOOKUP('RPW Vol and Rev'!$K38,'Marketing Mail Volume Growth'!$B$22:$C$52,2,FALSE))</f>
        <v>126639330.35012458</v>
      </c>
      <c r="P38" s="81">
        <f t="shared" si="11"/>
        <v>199428468.06934354</v>
      </c>
      <c r="Q38" s="42">
        <f t="shared" si="12"/>
        <v>0.0034001450102160843</v>
      </c>
      <c r="S38" s="1" t="s">
        <v>83</v>
      </c>
      <c r="T38" s="114">
        <f>L38*(1+VLOOKUP($S38,'Marketing Mail Volume Growth'!$B$22:$C$50,2,FALSE))</f>
        <v>5920701.230252077</v>
      </c>
      <c r="U38" s="115">
        <f>M38*(1+VLOOKUP($S38,'Marketing Mail Volume Growth'!$B$22:$C$50,2,FALSE))</f>
        <v>14461284.408202399</v>
      </c>
      <c r="V38" s="115">
        <f>N38*(1+VLOOKUP($S38,'Marketing Mail Volume Growth'!$B$22:$C$50,2,FALSE))</f>
        <v>56087701.13399687</v>
      </c>
      <c r="W38" s="115">
        <f>O38*(1+VLOOKUP($S38,'Marketing Mail Volume Growth'!$B$22:$C$50,2,FALSE))</f>
        <v>133042789.46541324</v>
      </c>
      <c r="X38" s="81">
        <f t="shared" si="8"/>
        <v>209512476.23786458</v>
      </c>
      <c r="Y38" s="42">
        <f t="shared" si="9"/>
        <v>0.003979930096045436</v>
      </c>
      <c r="AA38" s="45"/>
      <c r="AB38" s="45"/>
      <c r="AC38" s="45"/>
      <c r="AD38" s="45"/>
    </row>
    <row r="39" spans="1:30" ht="9.75">
      <c r="A39" s="20">
        <f t="shared" si="13"/>
        <v>25</v>
      </c>
      <c r="B39" s="1" t="s">
        <v>84</v>
      </c>
      <c r="C39" s="84">
        <v>12690164</v>
      </c>
      <c r="D39" s="84">
        <v>8425142</v>
      </c>
      <c r="E39" s="85">
        <v>15544112</v>
      </c>
      <c r="F39" s="85">
        <v>17549344</v>
      </c>
      <c r="G39" s="85">
        <v>80522541</v>
      </c>
      <c r="H39" s="81">
        <f t="shared" si="10"/>
        <v>122041139</v>
      </c>
      <c r="I39" s="42">
        <f t="shared" si="7"/>
        <v>0.0018570138855150116</v>
      </c>
      <c r="K39" s="1" t="s">
        <v>84</v>
      </c>
      <c r="L39" s="84">
        <v>9453354</v>
      </c>
      <c r="M39" s="115">
        <f>E39*(1+VLOOKUP('RPW Vol and Rev'!$K39,'Marketing Mail Volume Growth'!$B$22:$C$52,2,FALSE))</f>
        <v>16916765.034985725</v>
      </c>
      <c r="N39" s="115">
        <f>F39*(1+VLOOKUP('RPW Vol and Rev'!$K39,'Marketing Mail Volume Growth'!$B$22:$C$52,2,FALSE))</f>
        <v>19099072.94582904</v>
      </c>
      <c r="O39" s="115">
        <f>G39*(1+VLOOKUP('RPW Vol and Rev'!$K39,'Marketing Mail Volume Growth'!$B$22:$C$52,2,FALSE))</f>
        <v>87633240.55545948</v>
      </c>
      <c r="P39" s="81">
        <f t="shared" si="11"/>
        <v>133102432.53627425</v>
      </c>
      <c r="Q39" s="42">
        <f t="shared" si="12"/>
        <v>0.002269322811417641</v>
      </c>
      <c r="S39" s="1" t="s">
        <v>84</v>
      </c>
      <c r="T39" s="114">
        <f>L39*(1+VLOOKUP($S39,'Marketing Mail Volume Growth'!$B$22:$C$50,2,FALSE))</f>
        <v>10288150.806591103</v>
      </c>
      <c r="U39" s="115">
        <f>M39*(1+VLOOKUP($S39,'Marketing Mail Volume Growth'!$B$22:$C$50,2,FALSE))</f>
        <v>18410632.86528787</v>
      </c>
      <c r="V39" s="115">
        <f>N39*(1+VLOOKUP($S39,'Marketing Mail Volume Growth'!$B$22:$C$50,2,FALSE))</f>
        <v>20785653.719597656</v>
      </c>
      <c r="W39" s="115">
        <f>O39*(1+VLOOKUP($S39,'Marketing Mail Volume Growth'!$B$22:$C$50,2,FALSE))</f>
        <v>95371864.26159887</v>
      </c>
      <c r="X39" s="81">
        <f t="shared" si="8"/>
        <v>144856301.65307552</v>
      </c>
      <c r="Y39" s="42">
        <f t="shared" si="9"/>
        <v>0.002751711806872908</v>
      </c>
      <c r="AA39" s="45"/>
      <c r="AB39" s="45"/>
      <c r="AC39" s="45"/>
      <c r="AD39" s="45"/>
    </row>
    <row r="40" spans="1:30" ht="9.75">
      <c r="A40" s="20">
        <f t="shared" si="13"/>
        <v>26</v>
      </c>
      <c r="B40" s="1" t="s">
        <v>85</v>
      </c>
      <c r="C40" s="84">
        <v>6453141</v>
      </c>
      <c r="D40" s="84">
        <v>6683854</v>
      </c>
      <c r="E40" s="85">
        <v>22457350</v>
      </c>
      <c r="F40" s="85">
        <v>24079457</v>
      </c>
      <c r="G40" s="85">
        <v>55880191</v>
      </c>
      <c r="H40" s="81">
        <f t="shared" si="10"/>
        <v>109100852</v>
      </c>
      <c r="I40" s="42">
        <f t="shared" si="7"/>
        <v>0.0016601106704315356</v>
      </c>
      <c r="K40" s="1" t="s">
        <v>85</v>
      </c>
      <c r="L40" s="84">
        <v>5460182</v>
      </c>
      <c r="M40" s="115">
        <f>E40*(1+VLOOKUP('RPW Vol and Rev'!$K40,'Marketing Mail Volume Growth'!$B$22:$C$52,2,FALSE))</f>
        <v>27867863.23179908</v>
      </c>
      <c r="N40" s="115">
        <f>F40*(1+VLOOKUP('RPW Vol and Rev'!$K40,'Marketing Mail Volume Growth'!$B$22:$C$52,2,FALSE))</f>
        <v>29880774.640462343</v>
      </c>
      <c r="O40" s="115">
        <f>G40*(1+VLOOKUP('RPW Vol and Rev'!$K40,'Marketing Mail Volume Growth'!$B$22:$C$52,2,FALSE))</f>
        <v>69343066.75341524</v>
      </c>
      <c r="P40" s="81">
        <f t="shared" si="11"/>
        <v>132551886.62567666</v>
      </c>
      <c r="Q40" s="42">
        <f t="shared" si="12"/>
        <v>0.0022599363083324222</v>
      </c>
      <c r="S40" s="1" t="s">
        <v>85</v>
      </c>
      <c r="T40" s="114">
        <f>L40*(1+VLOOKUP($S40,'Marketing Mail Volume Growth'!$B$22:$C$50,2,FALSE))</f>
        <v>6775670.55760057</v>
      </c>
      <c r="U40" s="115">
        <f>M40*(1+VLOOKUP($S40,'Marketing Mail Volume Growth'!$B$22:$C$50,2,FALSE))</f>
        <v>34581898.625895716</v>
      </c>
      <c r="V40" s="115">
        <f>N40*(1+VLOOKUP($S40,'Marketing Mail Volume Growth'!$B$22:$C$50,2,FALSE))</f>
        <v>37079768.58091515</v>
      </c>
      <c r="W40" s="115">
        <f>O40*(1+VLOOKUP($S40,'Marketing Mail Volume Growth'!$B$22:$C$50,2,FALSE))</f>
        <v>86049471.56978405</v>
      </c>
      <c r="X40" s="81">
        <f t="shared" si="8"/>
        <v>164486809.3341955</v>
      </c>
      <c r="Y40" s="42">
        <f t="shared" si="9"/>
        <v>0.0031246158444923184</v>
      </c>
      <c r="AA40" s="45"/>
      <c r="AB40" s="45"/>
      <c r="AC40" s="45"/>
      <c r="AD40" s="45"/>
    </row>
    <row r="41" spans="1:30" ht="9.75">
      <c r="A41" s="20">
        <f t="shared" si="13"/>
        <v>27</v>
      </c>
      <c r="B41" s="1" t="s">
        <v>86</v>
      </c>
      <c r="C41" s="84">
        <v>2841387</v>
      </c>
      <c r="D41" s="84">
        <v>3386448</v>
      </c>
      <c r="E41" s="85">
        <v>2936053</v>
      </c>
      <c r="F41" s="85">
        <v>2570918</v>
      </c>
      <c r="G41" s="85">
        <v>2978210</v>
      </c>
      <c r="H41" s="81">
        <f t="shared" si="10"/>
        <v>11871629</v>
      </c>
      <c r="I41" s="42">
        <f t="shared" si="7"/>
        <v>0.00018064220046883284</v>
      </c>
      <c r="K41" s="1" t="s">
        <v>86</v>
      </c>
      <c r="L41" s="84">
        <v>3287084</v>
      </c>
      <c r="M41" s="115">
        <f>E41*(1+VLOOKUP('RPW Vol and Rev'!$K41,'Marketing Mail Volume Growth'!$B$22:$C$52,2,FALSE))</f>
        <v>2259217.135246518</v>
      </c>
      <c r="N41" s="115">
        <f>F41*(1+VLOOKUP('RPW Vol and Rev'!$K41,'Marketing Mail Volume Growth'!$B$22:$C$52,2,FALSE))</f>
        <v>1978255.1605552447</v>
      </c>
      <c r="O41" s="115">
        <f>G41*(1+VLOOKUP('RPW Vol and Rev'!$K41,'Marketing Mail Volume Growth'!$B$22:$C$52,2,FALSE))</f>
        <v>2291655.860559238</v>
      </c>
      <c r="P41" s="81">
        <f t="shared" si="11"/>
        <v>9816212.156361</v>
      </c>
      <c r="Q41" s="42">
        <f t="shared" si="12"/>
        <v>0.00016736098464672518</v>
      </c>
      <c r="S41" s="1" t="s">
        <v>86</v>
      </c>
      <c r="T41" s="114">
        <f>L41*(1+VLOOKUP($S41,'Marketing Mail Volume Growth'!$B$22:$C$50,2,FALSE))</f>
        <v>2529326.445331425</v>
      </c>
      <c r="U41" s="115">
        <f>M41*(1+VLOOKUP($S41,'Marketing Mail Volume Growth'!$B$22:$C$50,2,FALSE))</f>
        <v>1738409.3761902405</v>
      </c>
      <c r="V41" s="115">
        <f>N41*(1+VLOOKUP($S41,'Marketing Mail Volume Growth'!$B$22:$C$50,2,FALSE))</f>
        <v>1522216.3757317257</v>
      </c>
      <c r="W41" s="115">
        <f>O41*(1+VLOOKUP($S41,'Marketing Mail Volume Growth'!$B$22:$C$50,2,FALSE))</f>
        <v>1763370.1395252524</v>
      </c>
      <c r="X41" s="81">
        <f t="shared" si="8"/>
        <v>7553322.336778644</v>
      </c>
      <c r="Y41" s="42">
        <f t="shared" si="9"/>
        <v>0.00014348403223084336</v>
      </c>
      <c r="AA41" s="45"/>
      <c r="AB41" s="45"/>
      <c r="AC41" s="45"/>
      <c r="AD41" s="45"/>
    </row>
    <row r="42" spans="1:30" ht="10.5" thickBot="1">
      <c r="A42" s="20">
        <f>A41+1</f>
        <v>28</v>
      </c>
      <c r="B42" s="97" t="s">
        <v>108</v>
      </c>
      <c r="C42" s="102">
        <f aca="true" t="shared" si="14" ref="C42:H42">SUM(C28:C41)</f>
        <v>3196616659</v>
      </c>
      <c r="D42" s="102">
        <f t="shared" si="14"/>
        <v>2486867236</v>
      </c>
      <c r="E42" s="44">
        <f t="shared" si="14"/>
        <v>2501901369</v>
      </c>
      <c r="F42" s="44">
        <f t="shared" si="14"/>
        <v>2785097325</v>
      </c>
      <c r="G42" s="44">
        <f t="shared" si="14"/>
        <v>3779716747</v>
      </c>
      <c r="H42" s="44">
        <f t="shared" si="14"/>
        <v>11553582677</v>
      </c>
      <c r="I42" s="101">
        <f t="shared" si="7"/>
        <v>0.1758027140228075</v>
      </c>
      <c r="K42" s="97" t="s">
        <v>51</v>
      </c>
      <c r="L42" s="102">
        <f>SUM(L28:L41)</f>
        <v>2303177953</v>
      </c>
      <c r="M42" s="44">
        <f>SUM(M28:M41)</f>
        <v>2180430371.2994194</v>
      </c>
      <c r="N42" s="44">
        <f>SUM(N28:N41)</f>
        <v>2435791796.171954</v>
      </c>
      <c r="O42" s="44">
        <f>SUM(O28:O41)</f>
        <v>3341534372.4062347</v>
      </c>
      <c r="P42" s="44">
        <f>SUM(L42:O42)</f>
        <v>10260934492.87761</v>
      </c>
      <c r="Q42" s="101">
        <f t="shared" si="12"/>
        <v>0.17494325436015848</v>
      </c>
      <c r="S42" s="97" t="s">
        <v>51</v>
      </c>
      <c r="T42" s="102">
        <f>SUM(T28:T41)</f>
        <v>2000853562.823666</v>
      </c>
      <c r="U42" s="44">
        <f>SUM(U28:U41)</f>
        <v>1907334427.083219</v>
      </c>
      <c r="V42" s="44">
        <f>SUM(V28:V41)</f>
        <v>2139241193.491772</v>
      </c>
      <c r="W42" s="44">
        <f>SUM(W28:W41)</f>
        <v>2972805419.02208</v>
      </c>
      <c r="X42" s="44">
        <f t="shared" si="8"/>
        <v>9020234602.420736</v>
      </c>
      <c r="Y42" s="101">
        <f t="shared" si="9"/>
        <v>0.17134971535922613</v>
      </c>
      <c r="AA42" s="45"/>
      <c r="AB42" s="45"/>
      <c r="AC42" s="45"/>
      <c r="AD42" s="45"/>
    </row>
    <row r="43" spans="1:25" ht="10.5" thickTop="1">
      <c r="A43" s="20">
        <f t="shared" si="13"/>
        <v>29</v>
      </c>
      <c r="B43" s="16" t="s">
        <v>15</v>
      </c>
      <c r="C43" s="17">
        <f aca="true" t="shared" si="15" ref="C43:I43">C42+C25</f>
        <v>18693007502</v>
      </c>
      <c r="D43" s="17">
        <f t="shared" si="15"/>
        <v>15719774763</v>
      </c>
      <c r="E43" s="18">
        <f t="shared" si="15"/>
        <v>15996365804</v>
      </c>
      <c r="F43" s="18">
        <f t="shared" si="15"/>
        <v>16199917170</v>
      </c>
      <c r="G43" s="18">
        <f t="shared" si="15"/>
        <v>17802965665</v>
      </c>
      <c r="H43" s="18">
        <f t="shared" si="15"/>
        <v>65719023402</v>
      </c>
      <c r="I43" s="160">
        <f t="shared" si="15"/>
        <v>1</v>
      </c>
      <c r="K43" s="16" t="s">
        <v>15</v>
      </c>
      <c r="L43" s="17">
        <f aca="true" t="shared" si="16" ref="L43:Q43">L42+L25</f>
        <v>13958977241</v>
      </c>
      <c r="M43" s="18">
        <f t="shared" si="16"/>
        <v>14278313649.8539</v>
      </c>
      <c r="N43" s="18">
        <f t="shared" si="16"/>
        <v>14460315896.80085</v>
      </c>
      <c r="O43" s="18">
        <f t="shared" si="16"/>
        <v>15955323446.244175</v>
      </c>
      <c r="P43" s="18">
        <f t="shared" si="16"/>
        <v>58652930233.898926</v>
      </c>
      <c r="Q43" s="160">
        <f t="shared" si="16"/>
        <v>1</v>
      </c>
      <c r="S43" s="16" t="s">
        <v>15</v>
      </c>
      <c r="T43" s="17">
        <f>T25+T42</f>
        <v>12460421258.195726</v>
      </c>
      <c r="U43" s="18">
        <f>U25+U42</f>
        <v>12813531620.505629</v>
      </c>
      <c r="V43" s="18">
        <f>V25+V42</f>
        <v>12977684249.946377</v>
      </c>
      <c r="W43" s="18">
        <f>W25+W42</f>
        <v>14390613157.617779</v>
      </c>
      <c r="X43" s="18">
        <f>X25+X42</f>
        <v>52642250286.26551</v>
      </c>
      <c r="Y43" s="160">
        <f>Y42+Y25</f>
        <v>1</v>
      </c>
    </row>
    <row r="44" spans="4:8" ht="9.75">
      <c r="D44" s="11"/>
      <c r="E44" s="11"/>
      <c r="F44" s="11"/>
      <c r="G44" s="11"/>
      <c r="H44" s="11"/>
    </row>
    <row r="45" spans="3:8" ht="10.5">
      <c r="C45" s="148" t="s">
        <v>155</v>
      </c>
      <c r="D45" s="149" t="s">
        <v>129</v>
      </c>
      <c r="E45" s="149" t="s">
        <v>130</v>
      </c>
      <c r="F45" s="149" t="s">
        <v>131</v>
      </c>
      <c r="G45" s="150" t="s">
        <v>123</v>
      </c>
      <c r="H45" s="19"/>
    </row>
    <row r="46" spans="3:8" ht="10.5">
      <c r="C46" s="140"/>
      <c r="D46" s="57" t="s">
        <v>100</v>
      </c>
      <c r="E46" s="79"/>
      <c r="F46" s="79"/>
      <c r="G46" s="79"/>
      <c r="H46" s="80"/>
    </row>
    <row r="47" spans="2:9" ht="10.5">
      <c r="B47" s="5" t="s">
        <v>48</v>
      </c>
      <c r="C47" s="143"/>
      <c r="D47" s="76" t="s">
        <v>53</v>
      </c>
      <c r="E47" s="77" t="s">
        <v>54</v>
      </c>
      <c r="F47" s="77" t="s">
        <v>55</v>
      </c>
      <c r="G47" s="77" t="s">
        <v>56</v>
      </c>
      <c r="H47" s="77" t="s">
        <v>156</v>
      </c>
      <c r="I47" s="77" t="s">
        <v>52</v>
      </c>
    </row>
    <row r="48" spans="1:9" ht="9.75">
      <c r="A48" s="20">
        <f>A43+1</f>
        <v>30</v>
      </c>
      <c r="B48" s="1" t="s">
        <v>63</v>
      </c>
      <c r="C48" s="88">
        <v>2522734051</v>
      </c>
      <c r="D48" s="88">
        <v>2152716075</v>
      </c>
      <c r="E48" s="89">
        <v>2158603765</v>
      </c>
      <c r="F48" s="89">
        <v>2254631121</v>
      </c>
      <c r="G48" s="89">
        <v>2272191598</v>
      </c>
      <c r="H48" s="90">
        <f>SUM(D48:G48)</f>
        <v>8838142559</v>
      </c>
      <c r="I48" s="42">
        <f>H48/$H$80</f>
        <v>0.5589473691223136</v>
      </c>
    </row>
    <row r="49" spans="1:9" ht="9.75">
      <c r="A49" s="20">
        <f>A48+1</f>
        <v>31</v>
      </c>
      <c r="B49" s="1" t="s">
        <v>64</v>
      </c>
      <c r="C49" s="88">
        <v>295238061</v>
      </c>
      <c r="D49" s="88">
        <v>246676469</v>
      </c>
      <c r="E49" s="89">
        <v>223095354</v>
      </c>
      <c r="F49" s="89">
        <v>233830116</v>
      </c>
      <c r="G49" s="89">
        <v>260657556</v>
      </c>
      <c r="H49" s="90">
        <f aca="true" t="shared" si="17" ref="H49:H62">SUM(D49:G49)</f>
        <v>964259495</v>
      </c>
      <c r="I49" s="42">
        <f aca="true" t="shared" si="18" ref="I49:I62">H49/$H$80</f>
        <v>0.06098230530719601</v>
      </c>
    </row>
    <row r="50" spans="1:9" ht="9.75">
      <c r="A50" s="20">
        <f aca="true" t="shared" si="19" ref="A50:A62">A49+1</f>
        <v>32</v>
      </c>
      <c r="B50" s="1" t="s">
        <v>65</v>
      </c>
      <c r="C50" s="88">
        <v>1836457</v>
      </c>
      <c r="D50" s="88">
        <v>1999378</v>
      </c>
      <c r="E50" s="89">
        <v>2357305</v>
      </c>
      <c r="F50" s="89">
        <v>3097424</v>
      </c>
      <c r="G50" s="89">
        <v>2300455</v>
      </c>
      <c r="H50" s="90">
        <f t="shared" si="17"/>
        <v>9754562</v>
      </c>
      <c r="I50" s="42">
        <f t="shared" si="18"/>
        <v>0.000616904143652713</v>
      </c>
    </row>
    <row r="51" spans="1:9" ht="9.75">
      <c r="A51" s="20">
        <f t="shared" si="19"/>
        <v>33</v>
      </c>
      <c r="B51" s="1" t="s">
        <v>66</v>
      </c>
      <c r="C51" s="88">
        <v>432173834</v>
      </c>
      <c r="D51" s="88">
        <v>282482557</v>
      </c>
      <c r="E51" s="89">
        <v>297741683</v>
      </c>
      <c r="F51" s="89">
        <v>335867231</v>
      </c>
      <c r="G51" s="89">
        <v>445540889</v>
      </c>
      <c r="H51" s="90">
        <f t="shared" si="17"/>
        <v>1361632360</v>
      </c>
      <c r="I51" s="42">
        <f t="shared" si="18"/>
        <v>0.08611320990277398</v>
      </c>
    </row>
    <row r="52" spans="1:9" ht="9.75" hidden="1">
      <c r="A52" s="20">
        <f t="shared" si="19"/>
        <v>34</v>
      </c>
      <c r="B52" s="1" t="s">
        <v>67</v>
      </c>
      <c r="C52" s="88">
        <v>0</v>
      </c>
      <c r="D52" s="88">
        <v>0</v>
      </c>
      <c r="E52" s="89">
        <v>0</v>
      </c>
      <c r="F52" s="89">
        <v>0</v>
      </c>
      <c r="G52" s="89">
        <v>0</v>
      </c>
      <c r="H52" s="90">
        <f t="shared" si="17"/>
        <v>0</v>
      </c>
      <c r="I52" s="42">
        <f t="shared" si="18"/>
        <v>0</v>
      </c>
    </row>
    <row r="53" spans="1:9" ht="9.75">
      <c r="A53" s="20">
        <f>A51+1</f>
        <v>34</v>
      </c>
      <c r="B53" s="1" t="s">
        <v>68</v>
      </c>
      <c r="C53" s="88">
        <v>83678166</v>
      </c>
      <c r="D53" s="88">
        <v>88217862</v>
      </c>
      <c r="E53" s="89">
        <v>88537006</v>
      </c>
      <c r="F53" s="89">
        <v>89213421</v>
      </c>
      <c r="G53" s="89">
        <v>84036338</v>
      </c>
      <c r="H53" s="90">
        <f t="shared" si="17"/>
        <v>350004627</v>
      </c>
      <c r="I53" s="42">
        <f t="shared" si="18"/>
        <v>0.02213521270293041</v>
      </c>
    </row>
    <row r="54" spans="1:9" ht="9.75">
      <c r="A54" s="20">
        <f t="shared" si="19"/>
        <v>35</v>
      </c>
      <c r="B54" s="1" t="s">
        <v>69</v>
      </c>
      <c r="C54" s="88">
        <v>233443181</v>
      </c>
      <c r="D54" s="88">
        <v>230308036</v>
      </c>
      <c r="E54" s="89">
        <v>232929709</v>
      </c>
      <c r="F54" s="89">
        <v>226769464</v>
      </c>
      <c r="G54" s="89">
        <v>233304299</v>
      </c>
      <c r="H54" s="90">
        <f t="shared" si="17"/>
        <v>923311508</v>
      </c>
      <c r="I54" s="42">
        <f t="shared" si="18"/>
        <v>0.05839264696533121</v>
      </c>
    </row>
    <row r="55" spans="1:9" ht="9.75">
      <c r="A55" s="20">
        <f t="shared" si="19"/>
        <v>36</v>
      </c>
      <c r="B55" s="1" t="s">
        <v>70</v>
      </c>
      <c r="C55" s="88">
        <v>1682810</v>
      </c>
      <c r="D55" s="88">
        <v>1745794</v>
      </c>
      <c r="E55" s="89">
        <v>2257517</v>
      </c>
      <c r="F55" s="89">
        <v>1877594</v>
      </c>
      <c r="G55" s="89">
        <v>2001129</v>
      </c>
      <c r="H55" s="90">
        <f t="shared" si="17"/>
        <v>7882034</v>
      </c>
      <c r="I55" s="42">
        <f t="shared" si="18"/>
        <v>0.0004984805504349214</v>
      </c>
    </row>
    <row r="56" spans="1:9" ht="9.75">
      <c r="A56" s="20">
        <f t="shared" si="19"/>
        <v>37</v>
      </c>
      <c r="B56" s="1" t="s">
        <v>71</v>
      </c>
      <c r="C56" s="88">
        <v>85018140</v>
      </c>
      <c r="D56" s="88">
        <v>84212562</v>
      </c>
      <c r="E56" s="89">
        <v>89024501</v>
      </c>
      <c r="F56" s="89">
        <v>94974814</v>
      </c>
      <c r="G56" s="89">
        <v>93826872</v>
      </c>
      <c r="H56" s="90">
        <f t="shared" si="17"/>
        <v>362038749</v>
      </c>
      <c r="I56" s="42">
        <f t="shared" si="18"/>
        <v>0.022896282213485806</v>
      </c>
    </row>
    <row r="57" spans="1:9" ht="9.75">
      <c r="A57" s="20">
        <f t="shared" si="19"/>
        <v>38</v>
      </c>
      <c r="B57" s="1" t="s">
        <v>16</v>
      </c>
      <c r="C57" s="88">
        <v>132228141</v>
      </c>
      <c r="D57" s="88">
        <v>121294692</v>
      </c>
      <c r="E57" s="89">
        <v>117042161</v>
      </c>
      <c r="F57" s="89">
        <v>136093838</v>
      </c>
      <c r="G57" s="89">
        <v>140377262</v>
      </c>
      <c r="H57" s="90">
        <f t="shared" si="17"/>
        <v>514807953</v>
      </c>
      <c r="I57" s="42">
        <f t="shared" si="18"/>
        <v>0.03255780827381805</v>
      </c>
    </row>
    <row r="58" spans="1:9" ht="9.75">
      <c r="A58" s="20">
        <f t="shared" si="19"/>
        <v>39</v>
      </c>
      <c r="B58" s="1" t="s">
        <v>18</v>
      </c>
      <c r="C58" s="88">
        <v>93331793</v>
      </c>
      <c r="D58" s="88">
        <v>57545782</v>
      </c>
      <c r="E58" s="89">
        <v>79107936</v>
      </c>
      <c r="F58" s="89">
        <v>87882845</v>
      </c>
      <c r="G58" s="89">
        <v>112526925</v>
      </c>
      <c r="H58" s="90">
        <f t="shared" si="17"/>
        <v>337063488</v>
      </c>
      <c r="I58" s="42">
        <f t="shared" si="18"/>
        <v>0.02131678105293057</v>
      </c>
    </row>
    <row r="59" spans="1:9" ht="9.75">
      <c r="A59" s="20">
        <f t="shared" si="19"/>
        <v>40</v>
      </c>
      <c r="B59" s="1" t="s">
        <v>17</v>
      </c>
      <c r="C59" s="88">
        <v>51645432</v>
      </c>
      <c r="D59" s="88">
        <v>55820974</v>
      </c>
      <c r="E59" s="89">
        <v>55898452</v>
      </c>
      <c r="F59" s="89">
        <v>60416289</v>
      </c>
      <c r="G59" s="89">
        <v>53653638</v>
      </c>
      <c r="H59" s="90">
        <f t="shared" si="17"/>
        <v>225789353</v>
      </c>
      <c r="I59" s="42">
        <f t="shared" si="18"/>
        <v>0.014279512238311176</v>
      </c>
    </row>
    <row r="60" spans="1:9" ht="9.75">
      <c r="A60" s="20">
        <f t="shared" si="19"/>
        <v>41</v>
      </c>
      <c r="B60" s="1" t="s">
        <v>11</v>
      </c>
      <c r="C60" s="88">
        <v>26714835</v>
      </c>
      <c r="D60" s="88">
        <v>19512389</v>
      </c>
      <c r="E60" s="89">
        <v>23175324</v>
      </c>
      <c r="F60" s="89">
        <v>26197339</v>
      </c>
      <c r="G60" s="89">
        <v>41254317</v>
      </c>
      <c r="H60" s="90">
        <f t="shared" si="17"/>
        <v>110139369</v>
      </c>
      <c r="I60" s="42">
        <f t="shared" si="18"/>
        <v>0.006965503229708845</v>
      </c>
    </row>
    <row r="61" spans="1:9" ht="10.5" thickBot="1">
      <c r="A61" s="20">
        <f t="shared" si="19"/>
        <v>42</v>
      </c>
      <c r="B61" s="97" t="s">
        <v>72</v>
      </c>
      <c r="C61" s="103">
        <v>9929046</v>
      </c>
      <c r="D61" s="103">
        <v>5651961</v>
      </c>
      <c r="E61" s="104">
        <v>5174370</v>
      </c>
      <c r="F61" s="104">
        <v>5933372</v>
      </c>
      <c r="G61" s="104">
        <v>7317599</v>
      </c>
      <c r="H61" s="105">
        <f t="shared" si="17"/>
        <v>24077302</v>
      </c>
      <c r="I61" s="101">
        <f t="shared" si="18"/>
        <v>0.0015227118728424458</v>
      </c>
    </row>
    <row r="62" spans="1:9" ht="10.5" thickTop="1">
      <c r="A62" s="20">
        <f t="shared" si="19"/>
        <v>43</v>
      </c>
      <c r="B62" s="1" t="s">
        <v>51</v>
      </c>
      <c r="C62" s="91">
        <f>SUM(C48:C61)</f>
        <v>3969653947</v>
      </c>
      <c r="D62" s="91">
        <f>SUM(D48:D61)</f>
        <v>3348184531</v>
      </c>
      <c r="E62" s="92">
        <f>SUM(E48:E61)</f>
        <v>3374945083</v>
      </c>
      <c r="F62" s="92">
        <f>SUM(F48:F61)</f>
        <v>3556784868</v>
      </c>
      <c r="G62" s="92">
        <f>SUM(G48:G61)</f>
        <v>3748988877</v>
      </c>
      <c r="H62" s="92">
        <f t="shared" si="17"/>
        <v>14028903359</v>
      </c>
      <c r="I62" s="42">
        <f t="shared" si="18"/>
        <v>0.8872247275757297</v>
      </c>
    </row>
    <row r="63" spans="3:9" ht="9.75">
      <c r="C63" s="9"/>
      <c r="D63" s="12"/>
      <c r="E63" s="13"/>
      <c r="F63" s="7"/>
      <c r="G63" s="7"/>
      <c r="H63" s="7"/>
      <c r="I63" s="14"/>
    </row>
    <row r="64" spans="2:9" ht="9.75">
      <c r="B64" s="5" t="s">
        <v>49</v>
      </c>
      <c r="C64" s="142"/>
      <c r="D64" s="9"/>
      <c r="E64" s="7"/>
      <c r="F64" s="7"/>
      <c r="G64" s="7"/>
      <c r="H64" s="7"/>
      <c r="I64" s="14"/>
    </row>
    <row r="65" spans="1:9" ht="9.75">
      <c r="A65" s="20">
        <f>A62+1</f>
        <v>44</v>
      </c>
      <c r="B65" s="1" t="s">
        <v>73</v>
      </c>
      <c r="C65" s="88">
        <v>345483596</v>
      </c>
      <c r="D65" s="88">
        <v>270822089</v>
      </c>
      <c r="E65" s="89">
        <v>263601180</v>
      </c>
      <c r="F65" s="89">
        <v>289601552</v>
      </c>
      <c r="G65" s="89">
        <v>369887110</v>
      </c>
      <c r="H65" s="90">
        <f>SUM(D65:G65)</f>
        <v>1193911931</v>
      </c>
      <c r="I65" s="42">
        <f aca="true" t="shared" si="20" ref="I65:I79">H65/$H$80</f>
        <v>0.07550612906969191</v>
      </c>
    </row>
    <row r="66" spans="1:9" ht="9.75">
      <c r="A66" s="20">
        <f>A65+1</f>
        <v>45</v>
      </c>
      <c r="B66" s="1" t="s">
        <v>74</v>
      </c>
      <c r="C66" s="88">
        <v>86836980</v>
      </c>
      <c r="D66" s="88">
        <v>61983701</v>
      </c>
      <c r="E66" s="89">
        <v>65000254</v>
      </c>
      <c r="F66" s="89">
        <v>85066645</v>
      </c>
      <c r="G66" s="89">
        <v>96175377</v>
      </c>
      <c r="H66" s="90">
        <f aca="true" t="shared" si="21" ref="H66:H80">SUM(D66:G66)</f>
        <v>308225977</v>
      </c>
      <c r="I66" s="42">
        <f t="shared" si="20"/>
        <v>0.019493021049300403</v>
      </c>
    </row>
    <row r="67" spans="1:9" ht="9.75">
      <c r="A67" s="20">
        <f aca="true" t="shared" si="22" ref="A67:A80">A66+1</f>
        <v>46</v>
      </c>
      <c r="B67" s="1" t="s">
        <v>75</v>
      </c>
      <c r="C67" s="88">
        <v>131866</v>
      </c>
      <c r="D67" s="88">
        <v>128178</v>
      </c>
      <c r="E67" s="89">
        <v>155191</v>
      </c>
      <c r="F67" s="89">
        <v>204631</v>
      </c>
      <c r="G67" s="89">
        <v>368973</v>
      </c>
      <c r="H67" s="90">
        <f t="shared" si="21"/>
        <v>856973</v>
      </c>
      <c r="I67" s="42">
        <f t="shared" si="20"/>
        <v>5.4197225328876525E-05</v>
      </c>
    </row>
    <row r="68" spans="1:9" ht="9.75">
      <c r="A68" s="20">
        <f t="shared" si="22"/>
        <v>47</v>
      </c>
      <c r="B68" s="1" t="s">
        <v>76</v>
      </c>
      <c r="C68" s="88">
        <v>23909774</v>
      </c>
      <c r="D68" s="88">
        <v>10395337</v>
      </c>
      <c r="E68" s="89">
        <v>15090062</v>
      </c>
      <c r="F68" s="89">
        <v>29475780</v>
      </c>
      <c r="G68" s="89">
        <v>55844413</v>
      </c>
      <c r="H68" s="90">
        <f t="shared" si="21"/>
        <v>110805592</v>
      </c>
      <c r="I68" s="42">
        <f t="shared" si="20"/>
        <v>0.00700763692359451</v>
      </c>
    </row>
    <row r="69" spans="1:9" ht="9.75" hidden="1">
      <c r="A69" s="20">
        <f t="shared" si="22"/>
        <v>48</v>
      </c>
      <c r="B69" s="1" t="s">
        <v>77</v>
      </c>
      <c r="C69" s="88">
        <v>0</v>
      </c>
      <c r="D69" s="88">
        <v>0</v>
      </c>
      <c r="E69" s="89">
        <v>0</v>
      </c>
      <c r="F69" s="89">
        <v>0</v>
      </c>
      <c r="G69" s="89">
        <v>0</v>
      </c>
      <c r="H69" s="90">
        <f t="shared" si="21"/>
        <v>0</v>
      </c>
      <c r="I69" s="42">
        <f t="shared" si="20"/>
        <v>0</v>
      </c>
    </row>
    <row r="70" spans="1:9" ht="9.75">
      <c r="A70" s="20">
        <f>A68+1</f>
        <v>48</v>
      </c>
      <c r="B70" s="1" t="s">
        <v>78</v>
      </c>
      <c r="C70" s="88">
        <v>5369286</v>
      </c>
      <c r="D70" s="88">
        <v>5562473</v>
      </c>
      <c r="E70" s="89">
        <v>4780641</v>
      </c>
      <c r="F70" s="89">
        <v>5585540</v>
      </c>
      <c r="G70" s="89">
        <v>5937449</v>
      </c>
      <c r="H70" s="90">
        <f>SUM(D70:G70)</f>
        <v>21866103</v>
      </c>
      <c r="I70" s="42">
        <f t="shared" si="20"/>
        <v>0.0013828698352870196</v>
      </c>
    </row>
    <row r="71" spans="1:9" ht="9.75">
      <c r="A71" s="20">
        <f t="shared" si="22"/>
        <v>49</v>
      </c>
      <c r="B71" s="1" t="s">
        <v>79</v>
      </c>
      <c r="C71" s="88">
        <v>4140863</v>
      </c>
      <c r="D71" s="88">
        <v>5425925</v>
      </c>
      <c r="E71" s="89">
        <v>5862566</v>
      </c>
      <c r="F71" s="89">
        <v>6167641</v>
      </c>
      <c r="G71" s="89">
        <v>7024937</v>
      </c>
      <c r="H71" s="90">
        <f t="shared" si="21"/>
        <v>24481069</v>
      </c>
      <c r="I71" s="42">
        <f t="shared" si="20"/>
        <v>0.001548247159344313</v>
      </c>
    </row>
    <row r="72" spans="1:9" ht="9.75">
      <c r="A72" s="20">
        <f t="shared" si="22"/>
        <v>50</v>
      </c>
      <c r="B72" s="1" t="s">
        <v>80</v>
      </c>
      <c r="C72" s="88">
        <v>839763</v>
      </c>
      <c r="D72" s="88">
        <v>458091</v>
      </c>
      <c r="E72" s="89">
        <v>659949</v>
      </c>
      <c r="F72" s="89">
        <v>724506</v>
      </c>
      <c r="G72" s="89">
        <v>923796</v>
      </c>
      <c r="H72" s="90">
        <f t="shared" si="21"/>
        <v>2766342</v>
      </c>
      <c r="I72" s="42">
        <f t="shared" si="20"/>
        <v>0.00017495074023421385</v>
      </c>
    </row>
    <row r="73" spans="1:9" ht="9.75">
      <c r="A73" s="20">
        <f t="shared" si="22"/>
        <v>51</v>
      </c>
      <c r="B73" s="1" t="s">
        <v>81</v>
      </c>
      <c r="C73" s="88">
        <v>6026180</v>
      </c>
      <c r="D73" s="88">
        <v>5414168</v>
      </c>
      <c r="E73" s="89">
        <v>4708341</v>
      </c>
      <c r="F73" s="89">
        <v>5434072</v>
      </c>
      <c r="G73" s="89">
        <v>5972130</v>
      </c>
      <c r="H73" s="90">
        <f t="shared" si="21"/>
        <v>21528711</v>
      </c>
      <c r="I73" s="42">
        <f t="shared" si="20"/>
        <v>0.0013615322782716173</v>
      </c>
    </row>
    <row r="74" spans="1:9" ht="9.75">
      <c r="A74" s="20">
        <f t="shared" si="22"/>
        <v>52</v>
      </c>
      <c r="B74" s="1" t="s">
        <v>82</v>
      </c>
      <c r="C74" s="88">
        <v>2515340</v>
      </c>
      <c r="D74" s="88">
        <v>937681</v>
      </c>
      <c r="E74" s="89">
        <v>2075786</v>
      </c>
      <c r="F74" s="89">
        <v>3099842</v>
      </c>
      <c r="G74" s="89">
        <v>10755470</v>
      </c>
      <c r="H74" s="90">
        <f t="shared" si="21"/>
        <v>16868779</v>
      </c>
      <c r="I74" s="42">
        <f t="shared" si="20"/>
        <v>0.0010668259285718691</v>
      </c>
    </row>
    <row r="75" spans="1:9" ht="9.75">
      <c r="A75" s="20">
        <f t="shared" si="22"/>
        <v>53</v>
      </c>
      <c r="B75" s="1" t="s">
        <v>83</v>
      </c>
      <c r="C75" s="88">
        <v>2201151</v>
      </c>
      <c r="D75" s="88">
        <v>836379</v>
      </c>
      <c r="E75" s="89">
        <v>1952784</v>
      </c>
      <c r="F75" s="89">
        <v>8298301</v>
      </c>
      <c r="G75" s="89">
        <v>19726963</v>
      </c>
      <c r="H75" s="90">
        <f t="shared" si="21"/>
        <v>30814427</v>
      </c>
      <c r="I75" s="42">
        <f t="shared" si="20"/>
        <v>0.0019487853683829207</v>
      </c>
    </row>
    <row r="76" spans="1:9" ht="9.75">
      <c r="A76" s="20">
        <f t="shared" si="22"/>
        <v>54</v>
      </c>
      <c r="B76" s="1" t="s">
        <v>84</v>
      </c>
      <c r="C76" s="88">
        <v>1243550</v>
      </c>
      <c r="D76" s="88">
        <v>831338</v>
      </c>
      <c r="E76" s="89">
        <v>1530289</v>
      </c>
      <c r="F76" s="89">
        <v>1789617</v>
      </c>
      <c r="G76" s="89">
        <v>8072681</v>
      </c>
      <c r="H76" s="90">
        <f t="shared" si="21"/>
        <v>12223925</v>
      </c>
      <c r="I76" s="42">
        <f t="shared" si="20"/>
        <v>0.0007730731512291367</v>
      </c>
    </row>
    <row r="77" spans="1:9" ht="9.75">
      <c r="A77" s="20">
        <f t="shared" si="22"/>
        <v>55</v>
      </c>
      <c r="B77" s="1" t="s">
        <v>85</v>
      </c>
      <c r="C77" s="88">
        <v>679306</v>
      </c>
      <c r="D77" s="88">
        <v>701553</v>
      </c>
      <c r="E77" s="89">
        <v>2374257</v>
      </c>
      <c r="F77" s="89">
        <v>2919734</v>
      </c>
      <c r="G77" s="89">
        <v>6363357</v>
      </c>
      <c r="H77" s="90">
        <f t="shared" si="21"/>
        <v>12358901</v>
      </c>
      <c r="I77" s="42">
        <f t="shared" si="20"/>
        <v>0.0007816093882937706</v>
      </c>
    </row>
    <row r="78" spans="1:9" ht="10.5" thickBot="1">
      <c r="A78" s="20">
        <f t="shared" si="22"/>
        <v>56</v>
      </c>
      <c r="B78" s="97" t="s">
        <v>86</v>
      </c>
      <c r="C78" s="103">
        <v>6236413</v>
      </c>
      <c r="D78" s="103">
        <v>7313655</v>
      </c>
      <c r="E78" s="104">
        <v>6185971</v>
      </c>
      <c r="F78" s="104">
        <v>6041220</v>
      </c>
      <c r="G78" s="104">
        <v>6966501</v>
      </c>
      <c r="H78" s="105">
        <f t="shared" si="21"/>
        <v>26507347</v>
      </c>
      <c r="I78" s="101">
        <f t="shared" si="20"/>
        <v>0.0016763943067397912</v>
      </c>
    </row>
    <row r="79" spans="1:9" ht="10.5" thickBot="1" thickTop="1">
      <c r="A79" s="20">
        <f t="shared" si="22"/>
        <v>57</v>
      </c>
      <c r="B79" s="106" t="s">
        <v>51</v>
      </c>
      <c r="C79" s="107">
        <f>SUM(C65:C78)</f>
        <v>485614068</v>
      </c>
      <c r="D79" s="107">
        <f>SUM(D65:D78)</f>
        <v>370810568</v>
      </c>
      <c r="E79" s="108">
        <f>SUM(E65:E78)</f>
        <v>373977271</v>
      </c>
      <c r="F79" s="108">
        <f>SUM(F65:F78)</f>
        <v>444409081</v>
      </c>
      <c r="G79" s="108">
        <f>SUM(G65:G78)</f>
        <v>594019157</v>
      </c>
      <c r="H79" s="108">
        <f t="shared" si="21"/>
        <v>1783216077</v>
      </c>
      <c r="I79" s="109">
        <f t="shared" si="20"/>
        <v>0.11277527242427035</v>
      </c>
    </row>
    <row r="80" spans="1:9" ht="10.5" thickTop="1">
      <c r="A80" s="20">
        <f t="shared" si="22"/>
        <v>58</v>
      </c>
      <c r="B80" s="16" t="s">
        <v>15</v>
      </c>
      <c r="C80" s="95">
        <f>C79+C62</f>
        <v>4455268015</v>
      </c>
      <c r="D80" s="95">
        <f>D79+D62</f>
        <v>3718995099</v>
      </c>
      <c r="E80" s="96">
        <f>E79+E62</f>
        <v>3748922354</v>
      </c>
      <c r="F80" s="96">
        <f>F79+F62</f>
        <v>4001193949</v>
      </c>
      <c r="G80" s="96">
        <f>G79+G62</f>
        <v>4343008034</v>
      </c>
      <c r="H80" s="96">
        <f t="shared" si="21"/>
        <v>15812119436</v>
      </c>
      <c r="I80" s="160">
        <f>I79+I62</f>
        <v>1</v>
      </c>
    </row>
    <row r="82" spans="3:7" ht="10.5">
      <c r="C82" s="148" t="s">
        <v>155</v>
      </c>
      <c r="D82" s="149" t="s">
        <v>129</v>
      </c>
      <c r="E82" s="149" t="s">
        <v>130</v>
      </c>
      <c r="F82" s="149" t="s">
        <v>131</v>
      </c>
      <c r="G82" s="150" t="s">
        <v>123</v>
      </c>
    </row>
    <row r="83" spans="3:8" ht="10.5">
      <c r="C83" s="143"/>
      <c r="D83" s="57" t="s">
        <v>101</v>
      </c>
      <c r="E83" s="79"/>
      <c r="F83" s="79"/>
      <c r="G83" s="79"/>
      <c r="H83" s="80"/>
    </row>
    <row r="84" spans="2:9" ht="10.5">
      <c r="B84" s="5" t="s">
        <v>48</v>
      </c>
      <c r="C84" s="141"/>
      <c r="D84" s="76" t="s">
        <v>53</v>
      </c>
      <c r="E84" s="77" t="s">
        <v>54</v>
      </c>
      <c r="F84" s="77" t="s">
        <v>55</v>
      </c>
      <c r="G84" s="77" t="s">
        <v>56</v>
      </c>
      <c r="H84" s="151" t="s">
        <v>51</v>
      </c>
      <c r="I84" s="157"/>
    </row>
    <row r="85" spans="1:9" ht="9.75">
      <c r="A85" s="20">
        <f>A80+1</f>
        <v>59</v>
      </c>
      <c r="B85" s="1" t="s">
        <v>63</v>
      </c>
      <c r="C85" s="144">
        <f aca="true" t="shared" si="23" ref="C85:C99">C48/C11</f>
        <v>0.2574303193556075</v>
      </c>
      <c r="D85" s="144">
        <f aca="true" t="shared" si="24" ref="D85:H97">D48/D11</f>
        <v>0.2582483085867997</v>
      </c>
      <c r="E85" s="86">
        <f t="shared" si="24"/>
        <v>0.25691858637602166</v>
      </c>
      <c r="F85" s="86">
        <f t="shared" si="24"/>
        <v>0.2700188231085139</v>
      </c>
      <c r="G85" s="86">
        <f t="shared" si="24"/>
        <v>0.2703996165717831</v>
      </c>
      <c r="H85" s="152">
        <f>H48/H11</f>
        <v>0.26389820006123477</v>
      </c>
      <c r="I85" s="158"/>
    </row>
    <row r="86" spans="1:9" ht="9.75">
      <c r="A86" s="20">
        <f>A85+1</f>
        <v>60</v>
      </c>
      <c r="B86" s="1" t="s">
        <v>64</v>
      </c>
      <c r="C86" s="144">
        <f t="shared" si="23"/>
        <v>0.5297654439479457</v>
      </c>
      <c r="D86" s="144">
        <f t="shared" si="24"/>
        <v>0.5437527639912049</v>
      </c>
      <c r="E86" s="86">
        <f t="shared" si="24"/>
        <v>0.5413572752081817</v>
      </c>
      <c r="F86" s="86">
        <f t="shared" si="24"/>
        <v>0.5719599637323309</v>
      </c>
      <c r="G86" s="86">
        <f t="shared" si="24"/>
        <v>0.5724290563655046</v>
      </c>
      <c r="H86" s="152">
        <f>H49/H12</f>
        <v>0.5573962788676396</v>
      </c>
      <c r="I86" s="158"/>
    </row>
    <row r="87" spans="1:9" ht="9.75">
      <c r="A87" s="20">
        <f aca="true" t="shared" si="25" ref="A87:A99">A86+1</f>
        <v>61</v>
      </c>
      <c r="B87" s="1" t="s">
        <v>65</v>
      </c>
      <c r="C87" s="144">
        <f t="shared" si="23"/>
        <v>0.3101938871202253</v>
      </c>
      <c r="D87" s="144">
        <f t="shared" si="24"/>
        <v>0.3094083201020127</v>
      </c>
      <c r="E87" s="86">
        <f t="shared" si="24"/>
        <v>0.3104786758908742</v>
      </c>
      <c r="F87" s="86">
        <f t="shared" si="24"/>
        <v>0.37049529169370443</v>
      </c>
      <c r="G87" s="86">
        <f t="shared" si="24"/>
        <v>0.3749780355232827</v>
      </c>
      <c r="H87" s="152">
        <f>H50/H13</f>
        <v>0.3416712210280531</v>
      </c>
      <c r="I87" s="158"/>
    </row>
    <row r="88" spans="1:9" ht="9.75">
      <c r="A88" s="20">
        <f t="shared" si="25"/>
        <v>62</v>
      </c>
      <c r="B88" s="1" t="s">
        <v>66</v>
      </c>
      <c r="C88" s="144">
        <f t="shared" si="23"/>
        <v>0.3054338721928138</v>
      </c>
      <c r="D88" s="144">
        <f t="shared" si="24"/>
        <v>0.3086037407711446</v>
      </c>
      <c r="E88" s="86">
        <f t="shared" si="24"/>
        <v>0.30042520925059063</v>
      </c>
      <c r="F88" s="86">
        <f t="shared" si="24"/>
        <v>0.3276248544137789</v>
      </c>
      <c r="G88" s="86">
        <f t="shared" si="24"/>
        <v>0.32437713923699146</v>
      </c>
      <c r="H88" s="152">
        <f>H51/H14</f>
        <v>0.3162828396175196</v>
      </c>
      <c r="I88" s="158"/>
    </row>
    <row r="89" spans="1:9" ht="9.75" hidden="1">
      <c r="A89" s="20">
        <f t="shared" si="25"/>
        <v>63</v>
      </c>
      <c r="B89" s="1" t="s">
        <v>67</v>
      </c>
      <c r="C89" s="144" t="e">
        <f t="shared" si="23"/>
        <v>#DIV/0!</v>
      </c>
      <c r="D89" s="144" t="e">
        <f t="shared" si="24"/>
        <v>#DIV/0!</v>
      </c>
      <c r="E89" s="86" t="e">
        <f t="shared" si="24"/>
        <v>#DIV/0!</v>
      </c>
      <c r="F89" s="86" t="e">
        <f t="shared" si="24"/>
        <v>#DIV/0!</v>
      </c>
      <c r="G89" s="86" t="e">
        <f t="shared" si="24"/>
        <v>#DIV/0!</v>
      </c>
      <c r="H89" s="152" t="e">
        <f t="shared" si="24"/>
        <v>#DIV/0!</v>
      </c>
      <c r="I89" s="158"/>
    </row>
    <row r="90" spans="1:9" ht="9.75">
      <c r="A90" s="20">
        <f>A88+1</f>
        <v>63</v>
      </c>
      <c r="B90" s="1" t="s">
        <v>68</v>
      </c>
      <c r="C90" s="144">
        <f>C53/C16</f>
        <v>0.17003843840940389</v>
      </c>
      <c r="D90" s="144">
        <f t="shared" si="24"/>
        <v>0.17037066397745126</v>
      </c>
      <c r="E90" s="86">
        <f t="shared" si="24"/>
        <v>0.1694145170583178</v>
      </c>
      <c r="F90" s="86">
        <f t="shared" si="24"/>
        <v>0.17520869145387755</v>
      </c>
      <c r="G90" s="86">
        <f t="shared" si="24"/>
        <v>0.17548940764909676</v>
      </c>
      <c r="H90" s="152">
        <f>H53/H16</f>
        <v>0.17254717579793097</v>
      </c>
      <c r="I90" s="158"/>
    </row>
    <row r="91" spans="1:9" ht="9.75">
      <c r="A91" s="20">
        <f t="shared" si="25"/>
        <v>64</v>
      </c>
      <c r="B91" s="1" t="s">
        <v>69</v>
      </c>
      <c r="C91" s="144">
        <f>C54/C17</f>
        <v>0.17853818796668</v>
      </c>
      <c r="D91" s="144">
        <f t="shared" si="24"/>
        <v>0.1766033762955018</v>
      </c>
      <c r="E91" s="86">
        <f t="shared" si="24"/>
        <v>0.17522574393215765</v>
      </c>
      <c r="F91" s="86">
        <f t="shared" si="24"/>
        <v>0.17979997108018025</v>
      </c>
      <c r="G91" s="86">
        <f t="shared" si="24"/>
        <v>0.18293683653382137</v>
      </c>
      <c r="H91" s="152">
        <f>H54/H17</f>
        <v>0.17859131428860442</v>
      </c>
      <c r="I91" s="158"/>
    </row>
    <row r="92" spans="1:9" ht="9.75">
      <c r="A92" s="20">
        <f t="shared" si="25"/>
        <v>65</v>
      </c>
      <c r="B92" s="1" t="s">
        <v>70</v>
      </c>
      <c r="C92" s="144">
        <f t="shared" si="23"/>
        <v>0.17430759804873602</v>
      </c>
      <c r="D92" s="144">
        <f t="shared" si="24"/>
        <v>0.1743234060781742</v>
      </c>
      <c r="E92" s="86">
        <f t="shared" si="24"/>
        <v>0.17455401302259782</v>
      </c>
      <c r="F92" s="86">
        <f t="shared" si="24"/>
        <v>0.18146841626644938</v>
      </c>
      <c r="G92" s="86">
        <f t="shared" si="24"/>
        <v>0.1823460325528193</v>
      </c>
      <c r="H92" s="152">
        <f>H55/H18</f>
        <v>0.17804956912958173</v>
      </c>
      <c r="I92" s="158"/>
    </row>
    <row r="93" spans="1:9" ht="9.75">
      <c r="A93" s="20">
        <f t="shared" si="25"/>
        <v>66</v>
      </c>
      <c r="B93" s="1" t="s">
        <v>71</v>
      </c>
      <c r="C93" s="144">
        <f t="shared" si="23"/>
        <v>0.18082523615963894</v>
      </c>
      <c r="D93" s="144">
        <f t="shared" si="24"/>
        <v>0.17968516340447377</v>
      </c>
      <c r="E93" s="86">
        <f t="shared" si="24"/>
        <v>0.1797471495344433</v>
      </c>
      <c r="F93" s="86">
        <f t="shared" si="24"/>
        <v>0.1921721679196266</v>
      </c>
      <c r="G93" s="86">
        <f t="shared" si="24"/>
        <v>0.19364391598960223</v>
      </c>
      <c r="H93" s="152">
        <f t="shared" si="24"/>
        <v>0.18635912809489738</v>
      </c>
      <c r="I93" s="158"/>
    </row>
    <row r="94" spans="1:9" ht="9.75">
      <c r="A94" s="20">
        <f t="shared" si="25"/>
        <v>67</v>
      </c>
      <c r="B94" s="1" t="s">
        <v>16</v>
      </c>
      <c r="C94" s="144">
        <f t="shared" si="23"/>
        <v>0.20975226464168245</v>
      </c>
      <c r="D94" s="144">
        <f t="shared" si="24"/>
        <v>0.2106651702034656</v>
      </c>
      <c r="E94" s="86">
        <f t="shared" si="24"/>
        <v>0.20903556551780472</v>
      </c>
      <c r="F94" s="86">
        <f t="shared" si="24"/>
        <v>0.23006836551813176</v>
      </c>
      <c r="G94" s="86">
        <f t="shared" si="24"/>
        <v>0.2323599497241257</v>
      </c>
      <c r="H94" s="152">
        <f>H57/H20</f>
        <v>0.2208188540584088</v>
      </c>
      <c r="I94" s="158"/>
    </row>
    <row r="95" spans="1:9" ht="9.75">
      <c r="A95" s="20">
        <f t="shared" si="25"/>
        <v>68</v>
      </c>
      <c r="B95" s="1" t="s">
        <v>18</v>
      </c>
      <c r="C95" s="144">
        <f t="shared" si="23"/>
        <v>0.24446212703115006</v>
      </c>
      <c r="D95" s="144">
        <f t="shared" si="24"/>
        <v>0.24405389086232196</v>
      </c>
      <c r="E95" s="86">
        <f t="shared" si="24"/>
        <v>0.2392672999512352</v>
      </c>
      <c r="F95" s="86">
        <f t="shared" si="24"/>
        <v>0.2808139321967569</v>
      </c>
      <c r="G95" s="86">
        <f t="shared" si="24"/>
        <v>0.2535984423036532</v>
      </c>
      <c r="H95" s="152">
        <f>H58/H21</f>
        <v>0.25475370763387406</v>
      </c>
      <c r="I95" s="158"/>
    </row>
    <row r="96" spans="1:9" ht="9.75">
      <c r="A96" s="20">
        <f t="shared" si="25"/>
        <v>69</v>
      </c>
      <c r="B96" s="1" t="s">
        <v>17</v>
      </c>
      <c r="C96" s="144">
        <f t="shared" si="23"/>
        <v>0.1815827308261632</v>
      </c>
      <c r="D96" s="144">
        <f t="shared" si="24"/>
        <v>0.1818364285167981</v>
      </c>
      <c r="E96" s="86">
        <f t="shared" si="24"/>
        <v>0.1807811198017492</v>
      </c>
      <c r="F96" s="86">
        <f t="shared" si="24"/>
        <v>0.18886524124983953</v>
      </c>
      <c r="G96" s="86">
        <f t="shared" si="24"/>
        <v>0.18926562870838692</v>
      </c>
      <c r="H96" s="152">
        <f t="shared" si="24"/>
        <v>0.18513941308751958</v>
      </c>
      <c r="I96" s="158"/>
    </row>
    <row r="97" spans="1:9" ht="9.75">
      <c r="A97" s="20">
        <f t="shared" si="25"/>
        <v>70</v>
      </c>
      <c r="B97" s="1" t="s">
        <v>11</v>
      </c>
      <c r="C97" s="144">
        <f t="shared" si="23"/>
        <v>0.19663216157579802</v>
      </c>
      <c r="D97" s="144">
        <f t="shared" si="24"/>
        <v>0.19780442479433494</v>
      </c>
      <c r="E97" s="86">
        <f t="shared" si="24"/>
        <v>0.19569189823477906</v>
      </c>
      <c r="F97" s="86">
        <f t="shared" si="24"/>
        <v>0.21927145768225276</v>
      </c>
      <c r="G97" s="86">
        <f t="shared" si="24"/>
        <v>0.20664656896374015</v>
      </c>
      <c r="H97" s="152">
        <f>H60/H23</f>
        <v>0.20541338081394908</v>
      </c>
      <c r="I97" s="158"/>
    </row>
    <row r="98" spans="1:9" ht="10.5" thickBot="1">
      <c r="A98" s="20">
        <f t="shared" si="25"/>
        <v>71</v>
      </c>
      <c r="B98" s="97" t="s">
        <v>72</v>
      </c>
      <c r="C98" s="145">
        <f t="shared" si="23"/>
        <v>1.5005408813509733</v>
      </c>
      <c r="D98" s="145">
        <f aca="true" t="shared" si="26" ref="D98:H99">D61/D24</f>
        <v>1.4775630811637903</v>
      </c>
      <c r="E98" s="110">
        <f t="shared" si="26"/>
        <v>1.4776492264742451</v>
      </c>
      <c r="F98" s="110">
        <f t="shared" si="26"/>
        <v>1.587992924734711</v>
      </c>
      <c r="G98" s="110">
        <f t="shared" si="26"/>
        <v>1.6390223831320616</v>
      </c>
      <c r="H98" s="153">
        <f>H61/H24</f>
        <v>1.5505774809540314</v>
      </c>
      <c r="I98" s="158"/>
    </row>
    <row r="99" spans="1:9" ht="10.5" thickTop="1">
      <c r="A99" s="20">
        <f t="shared" si="25"/>
        <v>72</v>
      </c>
      <c r="B99" s="1" t="s">
        <v>51</v>
      </c>
      <c r="C99" s="87">
        <f t="shared" si="23"/>
        <v>0.2561663542961789</v>
      </c>
      <c r="D99" s="87">
        <f t="shared" si="26"/>
        <v>0.2530195668766272</v>
      </c>
      <c r="E99" s="46">
        <f t="shared" si="26"/>
        <v>0.2500984829191556</v>
      </c>
      <c r="F99" s="46">
        <f t="shared" si="26"/>
        <v>0.26513847439596383</v>
      </c>
      <c r="G99" s="46">
        <f t="shared" si="26"/>
        <v>0.2673409634901269</v>
      </c>
      <c r="H99" s="154">
        <f t="shared" si="26"/>
        <v>0.2590010008452673</v>
      </c>
      <c r="I99" s="158"/>
    </row>
    <row r="100" spans="3:9" ht="9.75">
      <c r="C100" s="12"/>
      <c r="D100" s="12"/>
      <c r="E100" s="13"/>
      <c r="F100" s="7"/>
      <c r="G100" s="7"/>
      <c r="H100" s="11"/>
      <c r="I100" s="60"/>
    </row>
    <row r="101" spans="2:9" ht="9.75">
      <c r="B101" s="5" t="s">
        <v>49</v>
      </c>
      <c r="C101" s="9"/>
      <c r="D101" s="9"/>
      <c r="E101" s="7"/>
      <c r="F101" s="7"/>
      <c r="G101" s="7"/>
      <c r="H101" s="11"/>
      <c r="I101" s="60"/>
    </row>
    <row r="102" spans="1:9" ht="9.75">
      <c r="A102" s="20">
        <f>A99+1</f>
        <v>73</v>
      </c>
      <c r="B102" s="1" t="s">
        <v>73</v>
      </c>
      <c r="C102" s="144">
        <f aca="true" t="shared" si="27" ref="C102:C117">C65/C28</f>
        <v>0.13215214157215022</v>
      </c>
      <c r="D102" s="144">
        <f aca="true" t="shared" si="28" ref="D102:H111">D65/D28</f>
        <v>0.1322760631134625</v>
      </c>
      <c r="E102" s="86">
        <f t="shared" si="28"/>
        <v>0.1319713908052363</v>
      </c>
      <c r="F102" s="86">
        <f t="shared" si="28"/>
        <v>0.13557718412858544</v>
      </c>
      <c r="G102" s="86">
        <f t="shared" si="28"/>
        <v>0.13498336614523887</v>
      </c>
      <c r="H102" s="152">
        <f>H65/H28</f>
        <v>0.13382984990839533</v>
      </c>
      <c r="I102" s="158"/>
    </row>
    <row r="103" spans="1:9" ht="9.75">
      <c r="A103" s="20">
        <f>A102+1</f>
        <v>74</v>
      </c>
      <c r="B103" s="1" t="s">
        <v>74</v>
      </c>
      <c r="C103" s="144">
        <f t="shared" si="27"/>
        <v>0.3478873429816323</v>
      </c>
      <c r="D103" s="144">
        <f t="shared" si="28"/>
        <v>0.33613857978498146</v>
      </c>
      <c r="E103" s="86">
        <f t="shared" si="28"/>
        <v>0.3283233623348981</v>
      </c>
      <c r="F103" s="86">
        <f t="shared" si="28"/>
        <v>0.3704008444270555</v>
      </c>
      <c r="G103" s="86">
        <f t="shared" si="28"/>
        <v>0.373820003934666</v>
      </c>
      <c r="H103" s="152">
        <f t="shared" si="28"/>
        <v>0.3545623653328724</v>
      </c>
      <c r="I103" s="158"/>
    </row>
    <row r="104" spans="1:9" ht="9.75">
      <c r="A104" s="20">
        <f aca="true" t="shared" si="29" ref="A104:A117">A103+1</f>
        <v>75</v>
      </c>
      <c r="B104" s="1" t="s">
        <v>75</v>
      </c>
      <c r="C104" s="144">
        <f t="shared" si="27"/>
        <v>0.22977854371012907</v>
      </c>
      <c r="D104" s="144">
        <f t="shared" si="28"/>
        <v>0.2308519394350901</v>
      </c>
      <c r="E104" s="86">
        <f t="shared" si="28"/>
        <v>0.22706735454117152</v>
      </c>
      <c r="F104" s="86">
        <f t="shared" si="28"/>
        <v>0.2537080270432119</v>
      </c>
      <c r="G104" s="86">
        <f t="shared" si="28"/>
        <v>0.2532426351790055</v>
      </c>
      <c r="H104" s="152">
        <f t="shared" si="28"/>
        <v>0.24469198675595016</v>
      </c>
      <c r="I104" s="158"/>
    </row>
    <row r="105" spans="1:9" ht="9.75">
      <c r="A105" s="20">
        <f t="shared" si="29"/>
        <v>76</v>
      </c>
      <c r="B105" s="1" t="s">
        <v>76</v>
      </c>
      <c r="C105" s="144">
        <f t="shared" si="27"/>
        <v>0.22889885618323164</v>
      </c>
      <c r="D105" s="144">
        <f t="shared" si="28"/>
        <v>0.22786976276578408</v>
      </c>
      <c r="E105" s="86">
        <f t="shared" si="28"/>
        <v>0.2220813701325214</v>
      </c>
      <c r="F105" s="86">
        <f t="shared" si="28"/>
        <v>0.2401920566420709</v>
      </c>
      <c r="G105" s="86">
        <f t="shared" si="28"/>
        <v>0.2351801133059118</v>
      </c>
      <c r="H105" s="152">
        <f t="shared" si="28"/>
        <v>0.23389569363652302</v>
      </c>
      <c r="I105" s="158"/>
    </row>
    <row r="106" spans="1:9" ht="9.75" hidden="1">
      <c r="A106" s="20">
        <f t="shared" si="29"/>
        <v>77</v>
      </c>
      <c r="B106" s="1" t="s">
        <v>77</v>
      </c>
      <c r="C106" s="144" t="e">
        <f t="shared" si="27"/>
        <v>#DIV/0!</v>
      </c>
      <c r="D106" s="144" t="e">
        <f t="shared" si="28"/>
        <v>#DIV/0!</v>
      </c>
      <c r="E106" s="86" t="e">
        <f t="shared" si="28"/>
        <v>#DIV/0!</v>
      </c>
      <c r="F106" s="86" t="e">
        <f t="shared" si="28"/>
        <v>#DIV/0!</v>
      </c>
      <c r="G106" s="86" t="e">
        <f t="shared" si="28"/>
        <v>#DIV/0!</v>
      </c>
      <c r="H106" s="152" t="e">
        <f t="shared" si="28"/>
        <v>#DIV/0!</v>
      </c>
      <c r="I106" s="158"/>
    </row>
    <row r="107" spans="1:9" ht="9.75">
      <c r="A107" s="20">
        <f>A105+1</f>
        <v>77</v>
      </c>
      <c r="B107" s="1" t="s">
        <v>78</v>
      </c>
      <c r="C107" s="144">
        <f t="shared" si="27"/>
        <v>0.09130518270198883</v>
      </c>
      <c r="D107" s="144">
        <f t="shared" si="28"/>
        <v>0.09098323247353475</v>
      </c>
      <c r="E107" s="86">
        <f t="shared" si="28"/>
        <v>0.09160919583180392</v>
      </c>
      <c r="F107" s="86">
        <f t="shared" si="28"/>
        <v>0.09657276258176056</v>
      </c>
      <c r="G107" s="86">
        <f t="shared" si="28"/>
        <v>0.09768450767161074</v>
      </c>
      <c r="H107" s="152">
        <f t="shared" si="28"/>
        <v>0.0942740002749825</v>
      </c>
      <c r="I107" s="158"/>
    </row>
    <row r="108" spans="1:9" ht="9.75">
      <c r="A108" s="20">
        <f t="shared" si="29"/>
        <v>78</v>
      </c>
      <c r="B108" s="1" t="s">
        <v>79</v>
      </c>
      <c r="C108" s="144">
        <f t="shared" si="27"/>
        <v>0.10057149133050405</v>
      </c>
      <c r="D108" s="144">
        <f t="shared" si="28"/>
        <v>0.10143538095550383</v>
      </c>
      <c r="E108" s="86">
        <f t="shared" si="28"/>
        <v>0.10171436879505961</v>
      </c>
      <c r="F108" s="86">
        <f t="shared" si="28"/>
        <v>0.10825947648967733</v>
      </c>
      <c r="G108" s="86">
        <f t="shared" si="28"/>
        <v>0.10644226325160863</v>
      </c>
      <c r="H108" s="152">
        <f t="shared" si="28"/>
        <v>0.10457636877868046</v>
      </c>
      <c r="I108" s="158"/>
    </row>
    <row r="109" spans="1:9" ht="9.75">
      <c r="A109" s="20">
        <f t="shared" si="29"/>
        <v>79</v>
      </c>
      <c r="B109" s="1" t="s">
        <v>80</v>
      </c>
      <c r="C109" s="144">
        <f t="shared" si="27"/>
        <v>0.09434696563621564</v>
      </c>
      <c r="D109" s="144">
        <f t="shared" si="28"/>
        <v>0.09435795882072687</v>
      </c>
      <c r="E109" s="86">
        <f t="shared" si="28"/>
        <v>0.09357352583367694</v>
      </c>
      <c r="F109" s="86">
        <f t="shared" si="28"/>
        <v>0.09906628238292021</v>
      </c>
      <c r="G109" s="86">
        <f t="shared" si="28"/>
        <v>0.10093038155301916</v>
      </c>
      <c r="H109" s="152">
        <f t="shared" si="28"/>
        <v>0.09749668557537237</v>
      </c>
      <c r="I109" s="158"/>
    </row>
    <row r="110" spans="1:9" ht="9.75">
      <c r="A110" s="20">
        <f t="shared" si="29"/>
        <v>80</v>
      </c>
      <c r="B110" s="1" t="s">
        <v>81</v>
      </c>
      <c r="C110" s="144">
        <f t="shared" si="27"/>
        <v>0.09694322964267464</v>
      </c>
      <c r="D110" s="144">
        <f t="shared" si="28"/>
        <v>0.09348232740704732</v>
      </c>
      <c r="E110" s="86">
        <f t="shared" si="28"/>
        <v>0.09327094695820957</v>
      </c>
      <c r="F110" s="86">
        <f t="shared" si="28"/>
        <v>0.10286024154914178</v>
      </c>
      <c r="G110" s="86">
        <f t="shared" si="28"/>
        <v>0.10435553611542073</v>
      </c>
      <c r="H110" s="152">
        <f t="shared" si="28"/>
        <v>0.09854982640642364</v>
      </c>
      <c r="I110" s="158"/>
    </row>
    <row r="111" spans="1:9" ht="9.75">
      <c r="A111" s="20">
        <f t="shared" si="29"/>
        <v>81</v>
      </c>
      <c r="B111" s="1" t="s">
        <v>82</v>
      </c>
      <c r="C111" s="144">
        <f t="shared" si="27"/>
        <v>0.12580678010386884</v>
      </c>
      <c r="D111" s="144">
        <f t="shared" si="28"/>
        <v>0.12648346583319248</v>
      </c>
      <c r="E111" s="86">
        <f t="shared" si="28"/>
        <v>0.12591384906395603</v>
      </c>
      <c r="F111" s="86">
        <f t="shared" si="28"/>
        <v>0.11978543094560849</v>
      </c>
      <c r="G111" s="86">
        <f t="shared" si="28"/>
        <v>0.11923953798322302</v>
      </c>
      <c r="H111" s="152">
        <f t="shared" si="28"/>
        <v>0.12051016940126914</v>
      </c>
      <c r="I111" s="158"/>
    </row>
    <row r="112" spans="1:9" ht="9.75">
      <c r="A112" s="20">
        <f t="shared" si="29"/>
        <v>82</v>
      </c>
      <c r="B112" s="1" t="s">
        <v>83</v>
      </c>
      <c r="C112" s="144">
        <f t="shared" si="27"/>
        <v>0.15006844656133325</v>
      </c>
      <c r="D112" s="144">
        <f aca="true" t="shared" si="30" ref="D112:H117">D75/D38</f>
        <v>0.14979426949102698</v>
      </c>
      <c r="E112" s="86">
        <f t="shared" si="30"/>
        <v>0.14903655867431476</v>
      </c>
      <c r="F112" s="86">
        <f t="shared" si="30"/>
        <v>0.1632927928780635</v>
      </c>
      <c r="G112" s="86">
        <f t="shared" si="30"/>
        <v>0.16364937886826872</v>
      </c>
      <c r="H112" s="152">
        <f t="shared" si="30"/>
        <v>0.16213950866916327</v>
      </c>
      <c r="I112" s="158"/>
    </row>
    <row r="113" spans="1:9" ht="9.75">
      <c r="A113" s="20">
        <f t="shared" si="29"/>
        <v>83</v>
      </c>
      <c r="B113" s="1" t="s">
        <v>84</v>
      </c>
      <c r="C113" s="144">
        <f t="shared" si="27"/>
        <v>0.09799321742414047</v>
      </c>
      <c r="D113" s="144">
        <f t="shared" si="30"/>
        <v>0.09867347042934113</v>
      </c>
      <c r="E113" s="86">
        <f t="shared" si="30"/>
        <v>0.09844814551001692</v>
      </c>
      <c r="F113" s="86">
        <f t="shared" si="30"/>
        <v>0.10197629039581195</v>
      </c>
      <c r="G113" s="86">
        <f t="shared" si="30"/>
        <v>0.10025367927721009</v>
      </c>
      <c r="H113" s="152">
        <f t="shared" si="30"/>
        <v>0.10016233132665207</v>
      </c>
      <c r="I113" s="158"/>
    </row>
    <row r="114" spans="1:9" ht="9.75">
      <c r="A114" s="20">
        <f t="shared" si="29"/>
        <v>84</v>
      </c>
      <c r="B114" s="1" t="s">
        <v>85</v>
      </c>
      <c r="C114" s="144">
        <f t="shared" si="27"/>
        <v>0.10526749686702956</v>
      </c>
      <c r="D114" s="144">
        <f t="shared" si="30"/>
        <v>0.1049623465742968</v>
      </c>
      <c r="E114" s="86">
        <f t="shared" si="30"/>
        <v>0.10572293703397774</v>
      </c>
      <c r="F114" s="86">
        <f t="shared" si="30"/>
        <v>0.12125414622098829</v>
      </c>
      <c r="G114" s="86">
        <f t="shared" si="30"/>
        <v>0.11387500447162037</v>
      </c>
      <c r="H114" s="152">
        <f t="shared" si="30"/>
        <v>0.11327960115288559</v>
      </c>
      <c r="I114" s="158"/>
    </row>
    <row r="115" spans="1:9" ht="10.5" thickBot="1">
      <c r="A115" s="20">
        <f t="shared" si="29"/>
        <v>85</v>
      </c>
      <c r="B115" s="97" t="s">
        <v>86</v>
      </c>
      <c r="C115" s="145">
        <f t="shared" si="27"/>
        <v>2.1948481498648373</v>
      </c>
      <c r="D115" s="145">
        <f t="shared" si="30"/>
        <v>2.159683243327522</v>
      </c>
      <c r="E115" s="110">
        <f t="shared" si="30"/>
        <v>2.1069003182163266</v>
      </c>
      <c r="F115" s="110">
        <f t="shared" si="30"/>
        <v>2.3498299051156044</v>
      </c>
      <c r="G115" s="110">
        <f t="shared" si="30"/>
        <v>2.3391570775734416</v>
      </c>
      <c r="H115" s="152">
        <f t="shared" si="30"/>
        <v>2.2328314842049055</v>
      </c>
      <c r="I115" s="158"/>
    </row>
    <row r="116" spans="1:9" ht="10.5" thickBot="1" thickTop="1">
      <c r="A116" s="20">
        <f t="shared" si="29"/>
        <v>86</v>
      </c>
      <c r="B116" s="106" t="s">
        <v>51</v>
      </c>
      <c r="C116" s="111">
        <f t="shared" si="27"/>
        <v>0.15191501509346292</v>
      </c>
      <c r="D116" s="111">
        <f t="shared" si="30"/>
        <v>0.1491075046677723</v>
      </c>
      <c r="E116" s="112">
        <f t="shared" si="30"/>
        <v>0.14947722385614154</v>
      </c>
      <c r="F116" s="112">
        <f t="shared" si="30"/>
        <v>0.15956680472557633</v>
      </c>
      <c r="G116" s="112">
        <f t="shared" si="30"/>
        <v>0.15715970184048292</v>
      </c>
      <c r="H116" s="155">
        <f t="shared" si="30"/>
        <v>0.1543431268769896</v>
      </c>
      <c r="I116" s="158"/>
    </row>
    <row r="117" spans="1:10" ht="10.5" thickTop="1">
      <c r="A117" s="20">
        <f t="shared" si="29"/>
        <v>87</v>
      </c>
      <c r="B117" s="16" t="s">
        <v>15</v>
      </c>
      <c r="C117" s="93">
        <f t="shared" si="27"/>
        <v>0.238338748568058</v>
      </c>
      <c r="D117" s="93">
        <f t="shared" si="30"/>
        <v>0.23658068611475816</v>
      </c>
      <c r="E117" s="94">
        <f t="shared" si="30"/>
        <v>0.23436087921061147</v>
      </c>
      <c r="F117" s="94">
        <f t="shared" si="30"/>
        <v>0.24698854364574507</v>
      </c>
      <c r="G117" s="94">
        <f t="shared" si="30"/>
        <v>0.24394857102590498</v>
      </c>
      <c r="H117" s="156">
        <f t="shared" si="30"/>
        <v>0.24060186255778712</v>
      </c>
      <c r="I117" s="159"/>
      <c r="J117" s="19"/>
    </row>
    <row r="119" ht="9.75">
      <c r="B119" s="5" t="s">
        <v>168</v>
      </c>
    </row>
    <row r="120" ht="9.75">
      <c r="B120" s="1" t="s">
        <v>169</v>
      </c>
    </row>
    <row r="122" ht="9.75">
      <c r="I122" s="19"/>
    </row>
    <row r="123" ht="9.75">
      <c r="I123" s="19"/>
    </row>
    <row r="124" ht="9.75">
      <c r="I124" s="45"/>
    </row>
    <row r="127" ht="9.75">
      <c r="H127" s="19"/>
    </row>
    <row r="128" ht="9.75">
      <c r="H128" s="19"/>
    </row>
    <row r="129" ht="9.75">
      <c r="H129" s="19"/>
    </row>
    <row r="130" ht="9.75">
      <c r="H130" s="19"/>
    </row>
    <row r="132" ht="9.75">
      <c r="H132" s="45"/>
    </row>
  </sheetData>
  <sheetProtection/>
  <printOptions/>
  <pageMargins left="0.75" right="0.75" top="1" bottom="1" header="0.5" footer="0.5"/>
  <pageSetup horizontalDpi="200" verticalDpi="200" orientation="landscape" scale="87" r:id="rId1"/>
  <ignoredErrors>
    <ignoredError sqref="H48:H61 H65:H78 H12:H23 H28:H43 H25" formulaRange="1"/>
    <ignoredError sqref="H80 A16 A33 A53 A70 A90 A107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dimension ref="B2:I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1" customWidth="1"/>
    <col min="2" max="2" width="19.8515625" style="1" customWidth="1"/>
    <col min="3" max="3" width="14.57421875" style="1" customWidth="1"/>
    <col min="4" max="4" width="10.8515625" style="1" bestFit="1" customWidth="1"/>
    <col min="5" max="5" width="11.140625" style="1" bestFit="1" customWidth="1"/>
    <col min="6" max="6" width="10.140625" style="1" bestFit="1" customWidth="1"/>
    <col min="7" max="7" width="10.8515625" style="1" bestFit="1" customWidth="1"/>
    <col min="8" max="16384" width="9.140625" style="1" customWidth="1"/>
  </cols>
  <sheetData>
    <row r="2" ht="19.5">
      <c r="B2" s="2" t="str">
        <f>'RPW Vol and Rev'!B2</f>
        <v>CY2024 Marketing Mail Incentive Program</v>
      </c>
    </row>
    <row r="3" ht="12.75">
      <c r="B3" s="3" t="s">
        <v>89</v>
      </c>
    </row>
    <row r="4" ht="9.75">
      <c r="B4" s="4" t="s">
        <v>167</v>
      </c>
    </row>
    <row r="6" spans="2:3" ht="9.75">
      <c r="B6" s="11"/>
      <c r="C6" s="166" t="s">
        <v>166</v>
      </c>
    </row>
    <row r="7" spans="2:3" ht="9.75">
      <c r="B7" s="82" t="s">
        <v>90</v>
      </c>
      <c r="C7" s="146">
        <v>0.035</v>
      </c>
    </row>
    <row r="8" spans="2:9" ht="9.75">
      <c r="B8" s="82" t="s">
        <v>91</v>
      </c>
      <c r="C8" s="147">
        <v>-0.038</v>
      </c>
      <c r="D8" s="52"/>
      <c r="E8" s="52"/>
      <c r="G8" s="52"/>
      <c r="I8" s="53"/>
    </row>
    <row r="9" spans="2:9" ht="9.75">
      <c r="B9" s="82" t="s">
        <v>92</v>
      </c>
      <c r="C9" s="147">
        <v>0.273</v>
      </c>
      <c r="D9" s="52"/>
      <c r="G9" s="52"/>
      <c r="I9" s="53"/>
    </row>
    <row r="10" spans="2:3" ht="9.75">
      <c r="B10" s="82" t="s">
        <v>93</v>
      </c>
      <c r="C10" s="146">
        <v>-0.028999999999999998</v>
      </c>
    </row>
    <row r="11" spans="2:3" ht="9.75">
      <c r="B11" s="82" t="s">
        <v>94</v>
      </c>
      <c r="C11" s="146">
        <v>-0.012</v>
      </c>
    </row>
    <row r="12" spans="2:3" ht="9.75">
      <c r="B12" s="82" t="s">
        <v>95</v>
      </c>
      <c r="C12" s="146">
        <v>-0.11199999999999999</v>
      </c>
    </row>
    <row r="13" spans="2:3" ht="9.75">
      <c r="B13" s="82" t="s">
        <v>96</v>
      </c>
      <c r="C13" s="146">
        <v>-0.151</v>
      </c>
    </row>
    <row r="14" spans="2:3" ht="9.75">
      <c r="B14" s="82" t="s">
        <v>97</v>
      </c>
      <c r="C14" s="146">
        <v>-0.142</v>
      </c>
    </row>
    <row r="15" spans="2:3" ht="9.75">
      <c r="B15" s="82"/>
      <c r="C15" s="146"/>
    </row>
    <row r="16" spans="2:3" ht="9.75">
      <c r="B16" s="82" t="s">
        <v>98</v>
      </c>
      <c r="C16" s="146">
        <v>-0.076</v>
      </c>
    </row>
    <row r="17" spans="2:3" ht="9.75">
      <c r="B17" s="82"/>
      <c r="C17" s="83"/>
    </row>
    <row r="18" spans="2:3" ht="9.75">
      <c r="B18" s="11"/>
      <c r="C18" s="74"/>
    </row>
    <row r="19" spans="2:3" ht="9.75">
      <c r="B19" s="11"/>
      <c r="C19" s="74"/>
    </row>
    <row r="20" spans="2:3" ht="9.75">
      <c r="B20" s="11"/>
      <c r="C20" s="11"/>
    </row>
    <row r="21" spans="2:3" ht="9.75">
      <c r="B21" s="164" t="s">
        <v>48</v>
      </c>
      <c r="C21" s="166" t="s">
        <v>166</v>
      </c>
    </row>
    <row r="22" spans="2:3" ht="9.75">
      <c r="B22" s="11" t="s">
        <v>63</v>
      </c>
      <c r="C22" s="165">
        <f>('RPW Vol and Rev'!L11+'RPW Vol and Rev'!G11)/('RPW Vol and Rev'!C11+'RPW Vol and Rev'!D11)-1</f>
        <v>-0.14024937501143198</v>
      </c>
    </row>
    <row r="23" spans="2:3" ht="9.75">
      <c r="B23" s="11" t="s">
        <v>64</v>
      </c>
      <c r="C23" s="165">
        <f>('RPW Vol and Rev'!L12+'RPW Vol and Rev'!G12)/('RPW Vol and Rev'!C12+'RPW Vol and Rev'!D12)-1</f>
        <v>-0.18379621966039128</v>
      </c>
    </row>
    <row r="24" spans="2:3" ht="9.75">
      <c r="B24" s="1" t="s">
        <v>65</v>
      </c>
      <c r="C24" s="165">
        <f>('RPW Vol and Rev'!L13+'RPW Vol and Rev'!G13)/('RPW Vol and Rev'!C13+'RPW Vol and Rev'!D13)-1</f>
        <v>-0.08341492835090625</v>
      </c>
    </row>
    <row r="25" spans="2:3" ht="9.75">
      <c r="B25" s="1" t="s">
        <v>66</v>
      </c>
      <c r="C25" s="165">
        <f>('RPW Vol and Rev'!L14+'RPW Vol and Rev'!G14)/('RPW Vol and Rev'!C14+'RPW Vol and Rev'!D14)-1</f>
        <v>-0.07169374474520251</v>
      </c>
    </row>
    <row r="26" spans="2:3" ht="9.75">
      <c r="B26" s="1" t="s">
        <v>68</v>
      </c>
      <c r="C26" s="165">
        <f>('RPW Vol and Rev'!L16+'RPW Vol and Rev'!G16)/('RPW Vol and Rev'!C16+'RPW Vol and Rev'!D16)-1</f>
        <v>-0.03949303696196116</v>
      </c>
    </row>
    <row r="27" spans="2:3" ht="9.75">
      <c r="B27" s="1" t="s">
        <v>69</v>
      </c>
      <c r="C27" s="165">
        <f>('RPW Vol and Rev'!L17+'RPW Vol and Rev'!G17)/('RPW Vol and Rev'!C17+'RPW Vol and Rev'!D17)-1</f>
        <v>-0.04848014712605575</v>
      </c>
    </row>
    <row r="28" spans="2:3" ht="9.75">
      <c r="B28" s="1" t="s">
        <v>70</v>
      </c>
      <c r="C28" s="165">
        <f>('RPW Vol and Rev'!L18+'RPW Vol and Rev'!G18)/('RPW Vol and Rev'!C18+'RPW Vol and Rev'!D18)-1</f>
        <v>-0.06317381617921458</v>
      </c>
    </row>
    <row r="29" spans="2:3" ht="9.75">
      <c r="B29" s="1" t="s">
        <v>71</v>
      </c>
      <c r="C29" s="165">
        <f>('RPW Vol and Rev'!L19+'RPW Vol and Rev'!G19)/('RPW Vol and Rev'!C19+'RPW Vol and Rev'!D19)-1</f>
        <v>0.0050138972379205615</v>
      </c>
    </row>
    <row r="30" spans="2:3" ht="9.75">
      <c r="B30" s="1" t="s">
        <v>16</v>
      </c>
      <c r="C30" s="165">
        <f>('RPW Vol and Rev'!L20+'RPW Vol and Rev'!G20)/('RPW Vol and Rev'!C20+'RPW Vol and Rev'!D20)-1</f>
        <v>-0.10558713346248638</v>
      </c>
    </row>
    <row r="31" spans="2:3" ht="9.75">
      <c r="B31" s="1" t="s">
        <v>18</v>
      </c>
      <c r="C31" s="165">
        <f>('RPW Vol and Rev'!L21+'RPW Vol and Rev'!G21)/('RPW Vol and Rev'!C21+'RPW Vol and Rev'!D21)-1</f>
        <v>0.050564537080106</v>
      </c>
    </row>
    <row r="32" spans="2:3" ht="9.75">
      <c r="B32" s="1" t="s">
        <v>17</v>
      </c>
      <c r="C32" s="165">
        <f>('RPW Vol and Rev'!L22+'RPW Vol and Rev'!G22)/('RPW Vol and Rev'!C22+'RPW Vol and Rev'!D22)-1</f>
        <v>0.08830694445496312</v>
      </c>
    </row>
    <row r="33" spans="2:3" ht="9.75">
      <c r="B33" s="1" t="s">
        <v>11</v>
      </c>
      <c r="C33" s="165">
        <f>('RPW Vol and Rev'!L23+'RPW Vol and Rev'!G23)/('RPW Vol and Rev'!C23+'RPW Vol and Rev'!D23)-1</f>
        <v>0.24092393945853274</v>
      </c>
    </row>
    <row r="34" spans="2:3" ht="9.75">
      <c r="B34" s="1" t="s">
        <v>72</v>
      </c>
      <c r="C34" s="165">
        <f>('RPW Vol and Rev'!L24+'RPW Vol and Rev'!G24)/('RPW Vol and Rev'!C24+'RPW Vol and Rev'!D24)-1</f>
        <v>-0.23052576528880164</v>
      </c>
    </row>
    <row r="37" spans="2:3" ht="9.75">
      <c r="B37" s="164" t="s">
        <v>49</v>
      </c>
      <c r="C37" s="166" t="s">
        <v>166</v>
      </c>
    </row>
    <row r="38" spans="2:7" ht="9.75">
      <c r="B38" s="1" t="s">
        <v>73</v>
      </c>
      <c r="C38" s="165">
        <f>C22</f>
        <v>-0.14024937501143198</v>
      </c>
      <c r="D38" s="53"/>
      <c r="E38" s="52"/>
      <c r="F38" s="52"/>
      <c r="G38" s="45"/>
    </row>
    <row r="39" spans="2:7" ht="9.75">
      <c r="B39" s="1" t="s">
        <v>74</v>
      </c>
      <c r="C39" s="165">
        <f aca="true" t="shared" si="0" ref="C39:C50">C23</f>
        <v>-0.18379621966039128</v>
      </c>
      <c r="E39" s="52"/>
      <c r="F39" s="52"/>
      <c r="G39" s="45"/>
    </row>
    <row r="40" spans="2:7" ht="9.75">
      <c r="B40" s="1" t="s">
        <v>75</v>
      </c>
      <c r="C40" s="165">
        <f t="shared" si="0"/>
        <v>-0.08341492835090625</v>
      </c>
      <c r="E40" s="52"/>
      <c r="F40" s="52"/>
      <c r="G40" s="45"/>
    </row>
    <row r="41" spans="2:7" ht="9.75">
      <c r="B41" s="1" t="s">
        <v>76</v>
      </c>
      <c r="C41" s="165">
        <f t="shared" si="0"/>
        <v>-0.07169374474520251</v>
      </c>
      <c r="E41" s="52"/>
      <c r="F41" s="52"/>
      <c r="G41" s="45"/>
    </row>
    <row r="42" spans="2:7" ht="9.75">
      <c r="B42" s="1" t="s">
        <v>78</v>
      </c>
      <c r="C42" s="165">
        <f t="shared" si="0"/>
        <v>-0.03949303696196116</v>
      </c>
      <c r="E42" s="52"/>
      <c r="F42" s="52"/>
      <c r="G42" s="45"/>
    </row>
    <row r="43" spans="2:7" ht="9.75">
      <c r="B43" s="1" t="s">
        <v>79</v>
      </c>
      <c r="C43" s="165">
        <f t="shared" si="0"/>
        <v>-0.04848014712605575</v>
      </c>
      <c r="E43" s="52"/>
      <c r="F43" s="52"/>
      <c r="G43" s="45"/>
    </row>
    <row r="44" spans="2:7" ht="9.75">
      <c r="B44" s="1" t="s">
        <v>80</v>
      </c>
      <c r="C44" s="165">
        <f t="shared" si="0"/>
        <v>-0.06317381617921458</v>
      </c>
      <c r="E44" s="52"/>
      <c r="F44" s="52"/>
      <c r="G44" s="45"/>
    </row>
    <row r="45" spans="2:7" ht="9.75">
      <c r="B45" s="1" t="s">
        <v>81</v>
      </c>
      <c r="C45" s="165">
        <f t="shared" si="0"/>
        <v>0.0050138972379205615</v>
      </c>
      <c r="E45" s="52"/>
      <c r="F45" s="52"/>
      <c r="G45" s="45"/>
    </row>
    <row r="46" spans="2:7" ht="9.75">
      <c r="B46" s="1" t="s">
        <v>82</v>
      </c>
      <c r="C46" s="165">
        <f t="shared" si="0"/>
        <v>-0.10558713346248638</v>
      </c>
      <c r="E46" s="52"/>
      <c r="F46" s="52"/>
      <c r="G46" s="45"/>
    </row>
    <row r="47" spans="2:7" ht="9.75">
      <c r="B47" s="1" t="s">
        <v>83</v>
      </c>
      <c r="C47" s="165">
        <f t="shared" si="0"/>
        <v>0.050564537080106</v>
      </c>
      <c r="E47" s="52"/>
      <c r="F47" s="52"/>
      <c r="G47" s="45"/>
    </row>
    <row r="48" spans="2:7" ht="9.75">
      <c r="B48" s="1" t="s">
        <v>84</v>
      </c>
      <c r="C48" s="165">
        <f t="shared" si="0"/>
        <v>0.08830694445496312</v>
      </c>
      <c r="E48" s="52"/>
      <c r="F48" s="52"/>
      <c r="G48" s="45"/>
    </row>
    <row r="49" spans="2:7" ht="9.75">
      <c r="B49" s="1" t="s">
        <v>85</v>
      </c>
      <c r="C49" s="165">
        <f t="shared" si="0"/>
        <v>0.24092393945853274</v>
      </c>
      <c r="E49" s="52"/>
      <c r="F49" s="52"/>
      <c r="G49" s="45"/>
    </row>
    <row r="50" spans="2:7" ht="9.75">
      <c r="B50" s="1" t="s">
        <v>86</v>
      </c>
      <c r="C50" s="165">
        <f t="shared" si="0"/>
        <v>-0.23052576528880164</v>
      </c>
      <c r="E50" s="52"/>
      <c r="F50" s="52"/>
      <c r="G50" s="45"/>
    </row>
    <row r="52" ht="9.75">
      <c r="B52" s="4" t="s">
        <v>164</v>
      </c>
    </row>
  </sheetData>
  <sheetProtection/>
  <printOptions/>
  <pageMargins left="0.75" right="0.75" top="1" bottom="1" header="0.5" footer="0.5"/>
  <pageSetup horizontalDpi="200" verticalDpi="200" orientation="landscape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8515625" style="1" bestFit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63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Reg Letters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Reg Letters FY23</v>
      </c>
      <c r="C12" s="63">
        <f>VLOOKUP($B$4,'RPW Vol and Rev'!$B$8:$H$43,MATCH('Reg Letters'!C$8,'RPW Vol and Rev'!$B$8:$H$8,FALSE),FALSE)</f>
        <v>8403087352</v>
      </c>
      <c r="D12" s="21">
        <f>VLOOKUP($B$4,'RPW Vol and Rev'!$K$8:$P$43,MATCH('Reg Letters'!D$8,'RPW Vol and Rev'!$K$8:$P$8,FALSE),FALSE)</f>
        <v>7188933278</v>
      </c>
      <c r="E12" s="22">
        <f>VLOOKUP($B$4,'RPW Vol and Rev'!$K$8:$P$43,MATCH('Reg Letters'!E$8,'RPW Vol and Rev'!$K$8:$P$8,FALSE),FALSE)</f>
        <v>7223537083.242469</v>
      </c>
      <c r="F12" s="22">
        <f>VLOOKUP($B$4,'RPW Vol and Rev'!$K$8:$P$43,MATCH('Reg Letters'!F$8,'RPW Vol and Rev'!$K$8:$P$8,FALSE),FALSE)</f>
        <v>7178834768.194743</v>
      </c>
      <c r="G12" s="13">
        <f>SUM(C12:F12)</f>
        <v>29994392481.437214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Reg Letters FY23</v>
      </c>
      <c r="C13" s="12">
        <f>C12*Inputs!$C$14</f>
        <v>7047329032.761616</v>
      </c>
      <c r="D13" s="13">
        <f>D12*Inputs!$C$14</f>
        <v>6029067184.762443</v>
      </c>
      <c r="E13" s="13">
        <f>E12*Inputs!$C$14</f>
        <v>6058087994.747387</v>
      </c>
      <c r="F13" s="13">
        <f>F12*Inputs!$C$14</f>
        <v>6020597973.583616</v>
      </c>
      <c r="G13" s="13">
        <f>SUM(C13:F13)</f>
        <v>25155082185.855064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Reg Letters FY23</v>
      </c>
      <c r="C14" s="12">
        <f>C13*Inputs!$C$15</f>
        <v>3523664516.380808</v>
      </c>
      <c r="D14" s="13">
        <f>D13*Inputs!$C$15</f>
        <v>3014533592.3812213</v>
      </c>
      <c r="E14" s="13">
        <f>E13*Inputs!$C$15</f>
        <v>3029043997.3736935</v>
      </c>
      <c r="F14" s="13">
        <f>F13*Inputs!$C$15</f>
        <v>3010298986.791808</v>
      </c>
      <c r="G14" s="13">
        <f>SUM(C14:F14)</f>
        <v>12577541092.927532</v>
      </c>
    </row>
    <row r="15" spans="1:7" ht="9.75">
      <c r="A15" s="20">
        <f>A14+1</f>
        <v>4</v>
      </c>
      <c r="B15" s="1" t="s">
        <v>128</v>
      </c>
      <c r="C15" s="12">
        <f>C14*Inputs!$C$8</f>
        <v>3523664516.380808</v>
      </c>
      <c r="D15" s="13">
        <f>D14*Inputs!$C$8</f>
        <v>3014533592.3812213</v>
      </c>
      <c r="E15" s="13">
        <f>E14*Inputs!$C$8</f>
        <v>3029043997.3736935</v>
      </c>
      <c r="F15" s="13">
        <f>F14*Inputs!$C$8</f>
        <v>3010298986.791808</v>
      </c>
      <c r="G15" s="13">
        <f>SUM(C15:F15)</f>
        <v>12577541092.927532</v>
      </c>
    </row>
    <row r="16" spans="1:7" ht="9.75">
      <c r="A16" s="20">
        <f>A15+1</f>
        <v>5</v>
      </c>
      <c r="B16" s="1" t="s">
        <v>62</v>
      </c>
      <c r="C16" s="12">
        <f>C15+C23</f>
        <v>3918314942.2154584</v>
      </c>
      <c r="D16" s="13">
        <f>D15+D23</f>
        <v>3352161354.727918</v>
      </c>
      <c r="E16" s="13">
        <f>E15+E23</f>
        <v>3368296925.079547</v>
      </c>
      <c r="F16" s="13">
        <f>F15+F23</f>
        <v>3347452473.3124905</v>
      </c>
      <c r="G16" s="13">
        <f>SUM(C16:F16)</f>
        <v>13986225695.335413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8" ht="9.75">
      <c r="A19" s="20">
        <f>A16+1</f>
        <v>6</v>
      </c>
      <c r="B19" s="1" t="s">
        <v>127</v>
      </c>
      <c r="C19" s="12">
        <f>C14*Inputs!$C$16</f>
        <v>1409465806.5523233</v>
      </c>
      <c r="D19" s="13">
        <f>D14*Inputs!$C$16</f>
        <v>1205813436.9524887</v>
      </c>
      <c r="E19" s="13">
        <f>E14*Inputs!$C$16</f>
        <v>1211617598.9494774</v>
      </c>
      <c r="F19" s="13">
        <f>F14*Inputs!$C$16</f>
        <v>1204119594.7167232</v>
      </c>
      <c r="G19" s="13">
        <f>SUM(C19:F19)</f>
        <v>5031016437.171013</v>
      </c>
      <c r="H19" s="45"/>
    </row>
    <row r="20" spans="1:7" ht="9.75">
      <c r="A20" s="20">
        <f>A19+1</f>
        <v>7</v>
      </c>
      <c r="B20" s="1" t="s">
        <v>5</v>
      </c>
      <c r="C20" s="12">
        <f>C19*Inputs!$C$8</f>
        <v>1409465806.5523233</v>
      </c>
      <c r="D20" s="13">
        <f>D19*Inputs!$C$8</f>
        <v>1205813436.9524887</v>
      </c>
      <c r="E20" s="13">
        <f>E19*Inputs!$C$8</f>
        <v>1211617598.9494774</v>
      </c>
      <c r="F20" s="13">
        <f>F19*Inputs!$C$8</f>
        <v>1204119594.7167232</v>
      </c>
      <c r="G20" s="13">
        <f>SUM(C20:F20)</f>
        <v>5031016437.171013</v>
      </c>
    </row>
    <row r="21" spans="1:9" ht="9.75">
      <c r="A21" s="20">
        <f>A20+1</f>
        <v>8</v>
      </c>
      <c r="B21" s="1" t="s">
        <v>62</v>
      </c>
      <c r="C21" s="12">
        <f>C20*(1+Inputs!$C$18)</f>
        <v>1804116232.3869739</v>
      </c>
      <c r="D21" s="12">
        <f>D20*(1+Inputs!$C$18)</f>
        <v>1543441199.2991855</v>
      </c>
      <c r="E21" s="12">
        <f>E20*(1+Inputs!$C$18)</f>
        <v>1550870526.6553311</v>
      </c>
      <c r="F21" s="12">
        <f>F20*(1+Inputs!$C$18)</f>
        <v>1541273081.2374058</v>
      </c>
      <c r="G21" s="13">
        <f>SUM(C21:F21)</f>
        <v>6439701039.578896</v>
      </c>
      <c r="I21" s="52"/>
    </row>
    <row r="22" spans="1:9" ht="9.75">
      <c r="A22" s="20">
        <f>A21+1</f>
        <v>9</v>
      </c>
      <c r="B22" s="1" t="s">
        <v>12</v>
      </c>
      <c r="C22" s="12">
        <f>C21-C19</f>
        <v>394650425.8346505</v>
      </c>
      <c r="D22" s="13">
        <f>D21-D19</f>
        <v>337627762.34669685</v>
      </c>
      <c r="E22" s="13">
        <f>E21-E19</f>
        <v>339252927.7058537</v>
      </c>
      <c r="F22" s="13">
        <f>F21-F19</f>
        <v>337153486.5206826</v>
      </c>
      <c r="G22" s="13">
        <f>SUM(C22:F22)</f>
        <v>1408684602.4078836</v>
      </c>
      <c r="I22" s="52"/>
    </row>
    <row r="23" spans="1:9" ht="9.75">
      <c r="A23" s="20">
        <f>A22+1</f>
        <v>10</v>
      </c>
      <c r="B23" s="47" t="s">
        <v>8</v>
      </c>
      <c r="C23" s="50">
        <f>C21-C20</f>
        <v>394650425.8346505</v>
      </c>
      <c r="D23" s="51">
        <f>D21-D20</f>
        <v>337627762.34669685</v>
      </c>
      <c r="E23" s="51">
        <f>E21-E20</f>
        <v>339252927.7058537</v>
      </c>
      <c r="F23" s="51">
        <f>F21-F20</f>
        <v>337153486.5206826</v>
      </c>
      <c r="G23" s="51">
        <f>SUM(C23:F23)</f>
        <v>1408684602.4078836</v>
      </c>
      <c r="I23" s="52"/>
    </row>
    <row r="24" spans="3:7" ht="9.75">
      <c r="C24" s="37"/>
      <c r="D24" s="13"/>
      <c r="E24" s="13"/>
      <c r="F24" s="13"/>
      <c r="G24" s="13"/>
    </row>
    <row r="25" spans="2:7" ht="9.75">
      <c r="B25" s="52"/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508970798.857648</v>
      </c>
      <c r="D28" s="8">
        <f>D21*(D29/D23)</f>
        <v>435430093.7460956</v>
      </c>
      <c r="E28" s="8">
        <f>E21*(E29/E23)</f>
        <v>437526028.92563194</v>
      </c>
      <c r="F28" s="8">
        <f>F21*(F29/F23)</f>
        <v>434818432.0570581</v>
      </c>
      <c r="G28" s="13">
        <f>SUM(C28:F28)</f>
        <v>1816745353.5864336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111337362.2501105</v>
      </c>
      <c r="D29" s="8">
        <f>VLOOKUP($B$4,Inputs!$B$55:$C$82,2,FALSE)*D23</f>
        <v>95250333.00695841</v>
      </c>
      <c r="E29" s="8">
        <f>VLOOKUP($B$4,Inputs!$B$55:$C$82,2,FALSE)*E23</f>
        <v>95708818.82748199</v>
      </c>
      <c r="F29" s="8">
        <f>VLOOKUP($B$4,Inputs!$B$55:$C$82,2,FALSE)*F23</f>
        <v>95116532.01248148</v>
      </c>
      <c r="G29" s="8">
        <f>SUM(C29:F29)</f>
        <v>397413046.0970324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33401208.675033152</v>
      </c>
      <c r="D30" s="49">
        <f>VLOOKUP($B$4,Inputs!$B$21:$C$49,2,FALSE)*D29</f>
        <v>28575099.90208752</v>
      </c>
      <c r="E30" s="49">
        <f>VLOOKUP($B$4,Inputs!$B$21:$C$49,2,FALSE)*E29</f>
        <v>28712645.648244593</v>
      </c>
      <c r="F30" s="49">
        <f>VLOOKUP($B$4,Inputs!$B$21:$C$49,2,FALSE)*F29</f>
        <v>28534959.603744444</v>
      </c>
      <c r="G30" s="49">
        <f>SUM(C30:F30)</f>
        <v>119223913.82910971</v>
      </c>
    </row>
    <row r="31" spans="1:7" ht="9.75">
      <c r="A31" s="20">
        <f>A30+1</f>
        <v>14</v>
      </c>
      <c r="B31" s="1" t="s">
        <v>43</v>
      </c>
      <c r="C31" s="10">
        <f>C29-C30</f>
        <v>77936153.57507735</v>
      </c>
      <c r="D31" s="8">
        <f>D29-D30</f>
        <v>66675233.104870886</v>
      </c>
      <c r="E31" s="8">
        <f>E29-E30</f>
        <v>66996173.179237396</v>
      </c>
      <c r="F31" s="8">
        <f>F29-F30</f>
        <v>66581572.40873703</v>
      </c>
      <c r="G31" s="8">
        <f>SUM(C31:F31)</f>
        <v>278189132.26792264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51732110.661366835</v>
      </c>
      <c r="D36" s="8">
        <f>D23*VLOOKUP($B$4,Inputs!$B$86:$C$113,2,FALSE)</f>
        <v>44257387.35015814</v>
      </c>
      <c r="E36" s="8">
        <f>E23*VLOOKUP($B$4,Inputs!$B$86:$C$113,2,FALSE)</f>
        <v>44470419.514066525</v>
      </c>
      <c r="F36" s="8">
        <f>F23*VLOOKUP($B$4,Inputs!$B$86:$C$113,2,FALSE)</f>
        <v>44195217.673124366</v>
      </c>
      <c r="G36" s="8">
        <f>G23*VLOOKUP($B$4,Inputs!$B$86:$C$113,2,FALSE)</f>
        <v>184655135.19871587</v>
      </c>
    </row>
    <row r="37" spans="1:7" ht="9.75">
      <c r="A37" s="20">
        <f>A36+1</f>
        <v>16</v>
      </c>
      <c r="B37" s="1" t="s">
        <v>10</v>
      </c>
      <c r="C37" s="10">
        <f>C31-C36</f>
        <v>26204042.91371052</v>
      </c>
      <c r="D37" s="10">
        <f>D31-D36</f>
        <v>22417845.754712746</v>
      </c>
      <c r="E37" s="10">
        <f>E31-E36</f>
        <v>22525753.66517087</v>
      </c>
      <c r="F37" s="10">
        <f>F31-F36</f>
        <v>22386354.735612668</v>
      </c>
      <c r="G37" s="8">
        <f>G31-G36</f>
        <v>93533997.06920677</v>
      </c>
    </row>
    <row r="38" spans="3:7" ht="9.75">
      <c r="C38" s="10"/>
      <c r="D38" s="10"/>
      <c r="E38" s="10"/>
      <c r="F38" s="10"/>
      <c r="G38" s="8"/>
    </row>
    <row r="40" ht="9.75">
      <c r="G40" s="66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64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Reg Flats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Reg Flats FY23</v>
      </c>
      <c r="C12" s="63">
        <f>VLOOKUP($B$4,'RPW Vol and Rev'!$B$8:$H$43,MATCH('Reg Letters'!C$8,'RPW Vol and Rev'!$B$8:$H$8,FALSE),FALSE)</f>
        <v>455353468</v>
      </c>
      <c r="D12" s="21">
        <f>VLOOKUP($B$4,'RPW Vol and Rev'!$K$8:$P$43,MATCH('Reg Letters'!D$8,'RPW Vol and Rev'!$K$8:$P$8,FALSE),FALSE)</f>
        <v>369791948</v>
      </c>
      <c r="E12" s="22">
        <f>VLOOKUP($B$4,'RPW Vol and Rev'!$K$8:$P$43,MATCH('Reg Letters'!E$8,'RPW Vol and Rev'!$K$8:$P$8,FALSE),FALSE)</f>
        <v>336360624.76666474</v>
      </c>
      <c r="F12" s="22">
        <f>VLOOKUP($B$4,'RPW Vol and Rev'!$K$8:$P$43,MATCH('Reg Letters'!F$8,'RPW Vol and Rev'!$K$8:$P$8,FALSE),FALSE)</f>
        <v>333682489.57678044</v>
      </c>
      <c r="G12" s="13">
        <f>SUM(C12:F12)</f>
        <v>1495188530.3434453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Reg Flats FY23</v>
      </c>
      <c r="C13" s="12">
        <f>C12*Inputs!$C$14</f>
        <v>381886511.56188613</v>
      </c>
      <c r="D13" s="13">
        <f>D12*Inputs!$C$14</f>
        <v>310129530.0234639</v>
      </c>
      <c r="E13" s="13">
        <f>E12*Inputs!$C$14</f>
        <v>282092033.21345556</v>
      </c>
      <c r="F13" s="13">
        <f>F12*Inputs!$C$14</f>
        <v>279845989.6955525</v>
      </c>
      <c r="G13" s="13">
        <f>SUM(C13:F13)</f>
        <v>1253954064.494358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Reg Flats FY23</v>
      </c>
      <c r="C14" s="12">
        <f>C13*Inputs!$C$15</f>
        <v>190943255.78094307</v>
      </c>
      <c r="D14" s="13">
        <f>D13*Inputs!$C$15</f>
        <v>155064765.01173195</v>
      </c>
      <c r="E14" s="13">
        <f>E13*Inputs!$C$15</f>
        <v>141046016.60672778</v>
      </c>
      <c r="F14" s="13">
        <f>F13*Inputs!$C$15</f>
        <v>139922994.84777626</v>
      </c>
      <c r="G14" s="13">
        <f>SUM(C14:F14)</f>
        <v>626977032.247179</v>
      </c>
    </row>
    <row r="15" spans="1:7" ht="9.75">
      <c r="A15" s="20">
        <f>A14+1</f>
        <v>4</v>
      </c>
      <c r="B15" s="1" t="s">
        <v>128</v>
      </c>
      <c r="C15" s="12">
        <f>C14*Inputs!$C$8</f>
        <v>190943255.78094307</v>
      </c>
      <c r="D15" s="13">
        <f>D14*Inputs!$C$8</f>
        <v>155064765.01173195</v>
      </c>
      <c r="E15" s="13">
        <f>E14*Inputs!$C$8</f>
        <v>141046016.60672778</v>
      </c>
      <c r="F15" s="13">
        <f>F14*Inputs!$C$8</f>
        <v>139922994.84777626</v>
      </c>
      <c r="G15" s="13">
        <f>SUM(C15:F15)</f>
        <v>626977032.247179</v>
      </c>
    </row>
    <row r="16" spans="1:7" ht="9.75">
      <c r="A16" s="20">
        <f>A15+1</f>
        <v>5</v>
      </c>
      <c r="B16" s="1" t="s">
        <v>62</v>
      </c>
      <c r="C16" s="12">
        <f>C15+C23</f>
        <v>212328900.42840868</v>
      </c>
      <c r="D16" s="13">
        <f>D15+D23</f>
        <v>172432018.69304594</v>
      </c>
      <c r="E16" s="13">
        <f>E15+E23</f>
        <v>156843170.4666813</v>
      </c>
      <c r="F16" s="13">
        <f>F15+F23</f>
        <v>155594370.27072722</v>
      </c>
      <c r="G16" s="13">
        <f>SUM(C16:F16)</f>
        <v>697198459.8588631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76377302.31237723</v>
      </c>
      <c r="D19" s="13">
        <f>D14*Inputs!$C$16</f>
        <v>62025906.004692785</v>
      </c>
      <c r="E19" s="13">
        <f>E14*Inputs!$C$16</f>
        <v>56418406.64269111</v>
      </c>
      <c r="F19" s="13">
        <f>F14*Inputs!$C$16</f>
        <v>55969197.93911051</v>
      </c>
      <c r="G19" s="13">
        <f>SUM(C19:F19)</f>
        <v>250790812.89887163</v>
      </c>
    </row>
    <row r="20" spans="1:7" ht="9.75">
      <c r="A20" s="20">
        <f>A19+1</f>
        <v>7</v>
      </c>
      <c r="B20" s="1" t="s">
        <v>5</v>
      </c>
      <c r="C20" s="12">
        <f>C19*Inputs!$C$8</f>
        <v>76377302.31237723</v>
      </c>
      <c r="D20" s="13">
        <f>D19*Inputs!$C$8</f>
        <v>62025906.004692785</v>
      </c>
      <c r="E20" s="13">
        <f>E19*Inputs!$C$8</f>
        <v>56418406.64269111</v>
      </c>
      <c r="F20" s="13">
        <f>F19*Inputs!$C$8</f>
        <v>55969197.93911051</v>
      </c>
      <c r="G20" s="13">
        <f>SUM(C20:F20)</f>
        <v>250790812.89887163</v>
      </c>
    </row>
    <row r="21" spans="1:7" ht="9.75">
      <c r="A21" s="20">
        <f>A20+1</f>
        <v>8</v>
      </c>
      <c r="B21" s="1" t="s">
        <v>62</v>
      </c>
      <c r="C21" s="12">
        <f>C20*(1+Inputs!$C$18)</f>
        <v>97762946.95984286</v>
      </c>
      <c r="D21" s="12">
        <f>D20*(1+Inputs!$C$18)</f>
        <v>79393159.68600677</v>
      </c>
      <c r="E21" s="12">
        <f>E20*(1+Inputs!$C$18)</f>
        <v>72215560.50264463</v>
      </c>
      <c r="F21" s="12">
        <f>F20*(1+Inputs!$C$18)</f>
        <v>71640573.36206146</v>
      </c>
      <c r="G21" s="13">
        <f>SUM(C21:F21)</f>
        <v>321012240.51055574</v>
      </c>
    </row>
    <row r="22" spans="1:7" ht="9.75">
      <c r="A22" s="20">
        <f>A21+1</f>
        <v>9</v>
      </c>
      <c r="B22" s="1" t="s">
        <v>12</v>
      </c>
      <c r="C22" s="12">
        <f>C21-C19</f>
        <v>21385644.64746563</v>
      </c>
      <c r="D22" s="13">
        <f>D21-D19</f>
        <v>17367253.681313984</v>
      </c>
      <c r="E22" s="13">
        <f>E21-E19</f>
        <v>15797153.859953515</v>
      </c>
      <c r="F22" s="13">
        <f>F21-F19</f>
        <v>15671375.422950946</v>
      </c>
      <c r="G22" s="13">
        <f>SUM(C22:F22)</f>
        <v>70221427.61168408</v>
      </c>
    </row>
    <row r="23" spans="1:7" ht="9.75">
      <c r="A23" s="20">
        <f>A22+1</f>
        <v>10</v>
      </c>
      <c r="B23" s="47" t="s">
        <v>8</v>
      </c>
      <c r="C23" s="50">
        <f>C21-C20</f>
        <v>21385644.64746563</v>
      </c>
      <c r="D23" s="51">
        <f>D21-D20</f>
        <v>17367253.681313984</v>
      </c>
      <c r="E23" s="51">
        <f>E21-E20</f>
        <v>15797153.859953515</v>
      </c>
      <c r="F23" s="51">
        <f>F21-F20</f>
        <v>15671375.422950946</v>
      </c>
      <c r="G23" s="51">
        <f>SUM(C23:F23)</f>
        <v>70221427.61168408</v>
      </c>
    </row>
    <row r="24" spans="3:7" ht="9.75">
      <c r="C24" s="37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58254606.587562464</v>
      </c>
      <c r="D28" s="8">
        <f>D21*(D29/D23)</f>
        <v>47308488.81991684</v>
      </c>
      <c r="E28" s="8">
        <f>E21*(E29/E23)</f>
        <v>43031528.78881506</v>
      </c>
      <c r="F28" s="8">
        <f>F21*(F29/F23)</f>
        <v>42688907.676121525</v>
      </c>
      <c r="G28" s="13">
        <f>SUM(C28:F28)</f>
        <v>191283531.8724159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12743195.191029292</v>
      </c>
      <c r="D29" s="8">
        <f>VLOOKUP($B$4,Inputs!$B$55:$C$82,2,FALSE)*D23</f>
        <v>10348731.92935681</v>
      </c>
      <c r="E29" s="8">
        <f>VLOOKUP($B$4,Inputs!$B$55:$C$82,2,FALSE)*E23</f>
        <v>9413146.922553295</v>
      </c>
      <c r="F29" s="8">
        <f>VLOOKUP($B$4,Inputs!$B$55:$C$82,2,FALSE)*F23</f>
        <v>9338198.554151585</v>
      </c>
      <c r="G29" s="8">
        <f>SUM(C29:F29)</f>
        <v>41843272.59709098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3822958.5573087875</v>
      </c>
      <c r="D30" s="49">
        <f>VLOOKUP($B$4,Inputs!$B$21:$C$49,2,FALSE)*D29</f>
        <v>3104619.578807043</v>
      </c>
      <c r="E30" s="49">
        <f>VLOOKUP($B$4,Inputs!$B$21:$C$49,2,FALSE)*E29</f>
        <v>2823944.0767659885</v>
      </c>
      <c r="F30" s="49">
        <f>VLOOKUP($B$4,Inputs!$B$21:$C$49,2,FALSE)*F29</f>
        <v>2801459.5662454753</v>
      </c>
      <c r="G30" s="49">
        <f>SUM(C30:F30)</f>
        <v>12552981.779127294</v>
      </c>
    </row>
    <row r="31" spans="1:7" ht="9.75">
      <c r="A31" s="20">
        <f>A30+1</f>
        <v>14</v>
      </c>
      <c r="B31" s="1" t="s">
        <v>43</v>
      </c>
      <c r="C31" s="10">
        <f>C29-C30</f>
        <v>8920236.633720504</v>
      </c>
      <c r="D31" s="8">
        <f>D29-D30</f>
        <v>7244112.350549767</v>
      </c>
      <c r="E31" s="8">
        <f>E29-E30</f>
        <v>6589202.845787307</v>
      </c>
      <c r="F31" s="8">
        <f>F29-F30</f>
        <v>6536738.98790611</v>
      </c>
      <c r="G31" s="8">
        <f>SUM(C31:F31)</f>
        <v>29290290.817963686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16515420.737028183</v>
      </c>
      <c r="D36" s="8">
        <f>D23*VLOOKUP($B$4,Inputs!$B$86:$C$113,2,FALSE)</f>
        <v>13412151.296902493</v>
      </c>
      <c r="E36" s="8">
        <f>E23*VLOOKUP($B$4,Inputs!$B$86:$C$113,2,FALSE)</f>
        <v>12199615.524595346</v>
      </c>
      <c r="F36" s="8">
        <f>F23*VLOOKUP($B$4,Inputs!$B$86:$C$113,2,FALSE)</f>
        <v>12102481.028956497</v>
      </c>
      <c r="G36" s="8">
        <f>G23*VLOOKUP($B$4,Inputs!$B$86:$C$113,2,FALSE)</f>
        <v>54229668.58748253</v>
      </c>
    </row>
    <row r="37" spans="1:7" ht="9.75">
      <c r="A37" s="20">
        <f>A36+1</f>
        <v>16</v>
      </c>
      <c r="B37" s="1" t="s">
        <v>10</v>
      </c>
      <c r="C37" s="10">
        <f>C31-C36</f>
        <v>-7595184.103307679</v>
      </c>
      <c r="D37" s="10">
        <f>D31-D36</f>
        <v>-6168038.946352726</v>
      </c>
      <c r="E37" s="10">
        <f>E31-E36</f>
        <v>-5610412.678808039</v>
      </c>
      <c r="F37" s="10">
        <f>F31-F36</f>
        <v>-5565742.041050388</v>
      </c>
      <c r="G37" s="8">
        <f>G31-G36</f>
        <v>-24939377.76951884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28">
      <selection activeCell="C29" sqref="C29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65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Reg Carrier Route Letters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Reg Carrier Route Letters FY23</v>
      </c>
      <c r="C12" s="63">
        <f>VLOOKUP($B$4,'RPW Vol and Rev'!$B$8:$H$43,MATCH('Reg Letters'!C$8,'RPW Vol and Rev'!$B$8:$H$8,FALSE),FALSE)</f>
        <v>6134906</v>
      </c>
      <c r="D12" s="21">
        <f>VLOOKUP($B$4,'RPW Vol and Rev'!$K$8:$P$43,MATCH('Reg Letters'!D$8,'RPW Vol and Rev'!$K$8:$P$8,FALSE),FALSE)</f>
        <v>5214518</v>
      </c>
      <c r="E12" s="22">
        <f>VLOOKUP($B$4,'RPW Vol and Rev'!$K$8:$P$43,MATCH('Reg Letters'!E$8,'RPW Vol and Rev'!$K$8:$P$8,FALSE),FALSE)</f>
        <v>6959159.324304741</v>
      </c>
      <c r="F12" s="22">
        <f>VLOOKUP($B$4,'RPW Vol and Rev'!$K$8:$P$43,MATCH('Reg Letters'!F$8,'RPW Vol and Rev'!$K$8:$P$8,FALSE),FALSE)</f>
        <v>7662857.430627544</v>
      </c>
      <c r="G12" s="13">
        <f>SUM(C12:F12)</f>
        <v>25971440.754932284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Reg Carrier Route Letters FY23</v>
      </c>
      <c r="C13" s="12">
        <f>C12*Inputs!$C$14</f>
        <v>5145097.195350854</v>
      </c>
      <c r="D13" s="13">
        <f>D12*Inputs!$C$14</f>
        <v>4373205.055938354</v>
      </c>
      <c r="E13" s="13">
        <f>E12*Inputs!$C$14</f>
        <v>5836365.075761562</v>
      </c>
      <c r="F13" s="13">
        <f>F12*Inputs!$C$14</f>
        <v>6426528.17739917</v>
      </c>
      <c r="G13" s="13">
        <f>SUM(C13:F13)</f>
        <v>21781195.50444994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Reg Carrier Route Letters FY23</v>
      </c>
      <c r="C14" s="12">
        <f>C13*Inputs!$C$15</f>
        <v>2572548.597675427</v>
      </c>
      <c r="D14" s="13">
        <f>D13*Inputs!$C$15</f>
        <v>2186602.527969177</v>
      </c>
      <c r="E14" s="13">
        <f>E13*Inputs!$C$15</f>
        <v>2918182.537880781</v>
      </c>
      <c r="F14" s="13">
        <f>F13*Inputs!$C$15</f>
        <v>3213264.088699585</v>
      </c>
      <c r="G14" s="13">
        <f>SUM(C14:F14)</f>
        <v>10890597.75222497</v>
      </c>
    </row>
    <row r="15" spans="1:7" ht="9.75">
      <c r="A15" s="20">
        <f>A14+1</f>
        <v>4</v>
      </c>
      <c r="B15" s="1" t="s">
        <v>128</v>
      </c>
      <c r="C15" s="12">
        <f>C14*Inputs!$C$8</f>
        <v>2572548.597675427</v>
      </c>
      <c r="D15" s="13">
        <f>D14*Inputs!$C$8</f>
        <v>2186602.527969177</v>
      </c>
      <c r="E15" s="13">
        <f>E14*Inputs!$C$8</f>
        <v>2918182.537880781</v>
      </c>
      <c r="F15" s="13">
        <f>F14*Inputs!$C$8</f>
        <v>3213264.088699585</v>
      </c>
      <c r="G15" s="13">
        <f>SUM(C15:F15)</f>
        <v>10890597.75222497</v>
      </c>
    </row>
    <row r="16" spans="1:7" ht="9.75">
      <c r="A16" s="20">
        <f>A15+1</f>
        <v>5</v>
      </c>
      <c r="B16" s="1" t="s">
        <v>62</v>
      </c>
      <c r="C16" s="12">
        <f>C15+C23</f>
        <v>2860674.040615075</v>
      </c>
      <c r="D16" s="13">
        <f>D15+D23</f>
        <v>2431502.0111017246</v>
      </c>
      <c r="E16" s="13">
        <f>E15+E23</f>
        <v>3245018.982123429</v>
      </c>
      <c r="F16" s="13">
        <f>F15+F23</f>
        <v>3573149.6666339384</v>
      </c>
      <c r="G16" s="13">
        <f>SUM(C16:F16)</f>
        <v>12110344.700474165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1029019.4390701707</v>
      </c>
      <c r="D19" s="13">
        <f>D14*Inputs!$C$16</f>
        <v>874641.0111876708</v>
      </c>
      <c r="E19" s="13">
        <f>E14*Inputs!$C$16</f>
        <v>1167273.0151523126</v>
      </c>
      <c r="F19" s="13">
        <f>F14*Inputs!$C$16</f>
        <v>1285305.635479834</v>
      </c>
      <c r="G19" s="13">
        <f>SUM(C19:F19)</f>
        <v>4356239.100889988</v>
      </c>
    </row>
    <row r="20" spans="1:7" ht="9.75">
      <c r="A20" s="20">
        <f>A19+1</f>
        <v>7</v>
      </c>
      <c r="B20" s="1" t="s">
        <v>5</v>
      </c>
      <c r="C20" s="12">
        <f>C19*Inputs!$C$8</f>
        <v>1029019.4390701707</v>
      </c>
      <c r="D20" s="13">
        <f>D19*Inputs!$C$8</f>
        <v>874641.0111876708</v>
      </c>
      <c r="E20" s="13">
        <f>E19*Inputs!$C$8</f>
        <v>1167273.0151523126</v>
      </c>
      <c r="F20" s="13">
        <f>F19*Inputs!$C$8</f>
        <v>1285305.635479834</v>
      </c>
      <c r="G20" s="13">
        <f>SUM(C20:F20)</f>
        <v>4356239.100889988</v>
      </c>
    </row>
    <row r="21" spans="1:7" ht="9.75">
      <c r="A21" s="20">
        <f>A20+1</f>
        <v>8</v>
      </c>
      <c r="B21" s="1" t="s">
        <v>62</v>
      </c>
      <c r="C21" s="12">
        <f>C20*(1+Inputs!$C$18)</f>
        <v>1317144.8820098187</v>
      </c>
      <c r="D21" s="12">
        <f>D20*(1+Inputs!$C$18)</f>
        <v>1119540.4943202187</v>
      </c>
      <c r="E21" s="12">
        <f>E20*(1+Inputs!$C$18)</f>
        <v>1494109.4593949602</v>
      </c>
      <c r="F21" s="12">
        <f>F20*(1+Inputs!$C$18)</f>
        <v>1645191.2134141875</v>
      </c>
      <c r="G21" s="13">
        <f>SUM(C21:F21)</f>
        <v>5575986.049139185</v>
      </c>
    </row>
    <row r="22" spans="1:7" ht="9.75">
      <c r="A22" s="20">
        <f>A21+1</f>
        <v>9</v>
      </c>
      <c r="B22" s="1" t="s">
        <v>12</v>
      </c>
      <c r="C22" s="12">
        <f>C21-C19</f>
        <v>288125.44293964794</v>
      </c>
      <c r="D22" s="13">
        <f>D21-D19</f>
        <v>244899.48313254793</v>
      </c>
      <c r="E22" s="13">
        <f>E21-E19</f>
        <v>326836.4442426476</v>
      </c>
      <c r="F22" s="13">
        <f>F21-F19</f>
        <v>359885.5779343536</v>
      </c>
      <c r="G22" s="13">
        <f>SUM(C22:F22)</f>
        <v>1219746.948249197</v>
      </c>
    </row>
    <row r="23" spans="1:7" ht="9.75">
      <c r="A23" s="20">
        <f>A22+1</f>
        <v>10</v>
      </c>
      <c r="B23" s="47" t="s">
        <v>8</v>
      </c>
      <c r="C23" s="50">
        <f>C21-C20</f>
        <v>288125.44293964794</v>
      </c>
      <c r="D23" s="51">
        <f>D21-D20</f>
        <v>244899.48313254793</v>
      </c>
      <c r="E23" s="51">
        <f>E21-E20</f>
        <v>326836.4442426476</v>
      </c>
      <c r="F23" s="51">
        <f>F21-F20</f>
        <v>359885.5779343536</v>
      </c>
      <c r="G23" s="51">
        <f>SUM(C23:F23)</f>
        <v>1219746.948249197</v>
      </c>
    </row>
    <row r="24" spans="3:7" ht="9.75">
      <c r="C24" s="37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481098.3556820424</v>
      </c>
      <c r="D28" s="8">
        <f>D21*(D29/D23)</f>
        <v>408921.6746718552</v>
      </c>
      <c r="E28" s="8">
        <f>E21*(E29/E23)</f>
        <v>545736.1706686891</v>
      </c>
      <c r="F28" s="8">
        <f>F21*(F29/F23)</f>
        <v>600920.0645781422</v>
      </c>
      <c r="G28" s="13">
        <f>SUM(C28:F28)</f>
        <v>2036676.265600729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105240.26530544682</v>
      </c>
      <c r="D29" s="8">
        <f>VLOOKUP($B$4,Inputs!$B$55:$C$82,2,FALSE)*D23</f>
        <v>89451.61633446836</v>
      </c>
      <c r="E29" s="8">
        <f>VLOOKUP($B$4,Inputs!$B$55:$C$82,2,FALSE)*E23</f>
        <v>119379.78733377575</v>
      </c>
      <c r="F29" s="8">
        <f>VLOOKUP($B$4,Inputs!$B$55:$C$82,2,FALSE)*F23</f>
        <v>131451.26412646865</v>
      </c>
      <c r="G29" s="8">
        <f>SUM(C29:F29)</f>
        <v>445522.93310015963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31572.079591634047</v>
      </c>
      <c r="D30" s="49">
        <f>VLOOKUP($B$4,Inputs!$B$21:$C$49,2,FALSE)*D29</f>
        <v>26835.484900340507</v>
      </c>
      <c r="E30" s="49">
        <f>VLOOKUP($B$4,Inputs!$B$21:$C$49,2,FALSE)*E29</f>
        <v>35813.936200132724</v>
      </c>
      <c r="F30" s="49">
        <f>VLOOKUP($B$4,Inputs!$B$21:$C$49,2,FALSE)*F29</f>
        <v>39435.37923794059</v>
      </c>
      <c r="G30" s="49">
        <f>SUM(C30:F30)</f>
        <v>133656.87993004787</v>
      </c>
    </row>
    <row r="31" spans="1:7" ht="9.75">
      <c r="A31" s="20">
        <f>A30+1</f>
        <v>14</v>
      </c>
      <c r="B31" s="1" t="s">
        <v>43</v>
      </c>
      <c r="C31" s="10">
        <f>C29-C30</f>
        <v>73668.18571381278</v>
      </c>
      <c r="D31" s="8">
        <f>D29-D30</f>
        <v>62616.13143412785</v>
      </c>
      <c r="E31" s="8">
        <f>E29-E30</f>
        <v>83565.85113364302</v>
      </c>
      <c r="F31" s="8">
        <f>F29-F30</f>
        <v>92015.88488852806</v>
      </c>
      <c r="G31" s="8">
        <f>SUM(C31:F31)</f>
        <v>311866.0531701117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94230.25555041716</v>
      </c>
      <c r="D36" s="8">
        <f>D23*VLOOKUP($B$4,Inputs!$B$86:$C$113,2,FALSE)</f>
        <v>80093.38100897556</v>
      </c>
      <c r="E36" s="8">
        <f>E23*VLOOKUP($B$4,Inputs!$B$86:$C$113,2,FALSE)</f>
        <v>106890.5312559482</v>
      </c>
      <c r="F36" s="8">
        <f>F23*VLOOKUP($B$4,Inputs!$B$86:$C$113,2,FALSE)</f>
        <v>117699.1161615918</v>
      </c>
      <c r="G36" s="8">
        <f>G23*VLOOKUP($B$4,Inputs!$B$86:$C$113,2,FALSE)</f>
        <v>398913.2839769327</v>
      </c>
    </row>
    <row r="37" spans="1:7" ht="9.75">
      <c r="A37" s="20">
        <f>A36+1</f>
        <v>16</v>
      </c>
      <c r="B37" s="1" t="s">
        <v>10</v>
      </c>
      <c r="C37" s="10">
        <f>C31-C36</f>
        <v>-20562.06983660438</v>
      </c>
      <c r="D37" s="10">
        <f>D31-D36</f>
        <v>-17477.24957484771</v>
      </c>
      <c r="E37" s="10">
        <f>E31-E36</f>
        <v>-23324.680122305173</v>
      </c>
      <c r="F37" s="10">
        <f>F31-F36</f>
        <v>-25683.231273063735</v>
      </c>
      <c r="G37" s="8">
        <f>G31-G36</f>
        <v>-87047.23080682097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41"/>
  <sheetViews>
    <sheetView zoomScalePageLayoutView="0" workbookViewId="0" topLeftCell="A28">
      <selection activeCell="B52" sqref="B52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66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Reg Carrier Route Flats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Reg Carrier Route Flats FY23</v>
      </c>
      <c r="C12" s="63">
        <f>VLOOKUP($B$4,'RPW Vol and Rev'!$B$8:$H$43,MATCH('Reg Letters'!C$8,'RPW Vol and Rev'!$B$8:$H$8,FALSE),FALSE)</f>
        <v>1373527401</v>
      </c>
      <c r="D12" s="21">
        <f>VLOOKUP($B$4,'RPW Vol and Rev'!$K$8:$P$43,MATCH('Reg Letters'!D$8,'RPW Vol and Rev'!$K$8:$P$8,FALSE),FALSE)</f>
        <v>789711588</v>
      </c>
      <c r="E12" s="22">
        <f>VLOOKUP($B$4,'RPW Vol and Rev'!$K$8:$P$43,MATCH('Reg Letters'!E$8,'RPW Vol and Rev'!$K$8:$P$8,FALSE),FALSE)</f>
        <v>920014227.3960906</v>
      </c>
      <c r="F12" s="22">
        <f>VLOOKUP($B$4,'RPW Vol and Rev'!$K$8:$P$43,MATCH('Reg Letters'!F$8,'RPW Vol and Rev'!$K$8:$P$8,FALSE),FALSE)</f>
        <v>951660557.1036162</v>
      </c>
      <c r="G12" s="13">
        <f>SUM(C12:F12)</f>
        <v>4034913773.4997067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Reg Carrier Route Flats FY23</v>
      </c>
      <c r="C13" s="12">
        <f>C12*Inputs!$C$14</f>
        <v>1151921802.6523385</v>
      </c>
      <c r="D13" s="13">
        <f>D12*Inputs!$C$14</f>
        <v>662299125.1300132</v>
      </c>
      <c r="E13" s="13">
        <f>E12*Inputs!$C$14</f>
        <v>771578671.4675838</v>
      </c>
      <c r="F13" s="13">
        <f>F12*Inputs!$C$14</f>
        <v>798119166.5006517</v>
      </c>
      <c r="G13" s="13">
        <f>SUM(C13:F13)</f>
        <v>3383918765.7505875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Reg Carrier Route Flats FY23</v>
      </c>
      <c r="C14" s="12">
        <f>C13*Inputs!$C$15</f>
        <v>575960901.3261693</v>
      </c>
      <c r="D14" s="13">
        <f>D13*Inputs!$C$15</f>
        <v>331149562.5650066</v>
      </c>
      <c r="E14" s="13">
        <f>E13*Inputs!$C$15</f>
        <v>385789335.7337919</v>
      </c>
      <c r="F14" s="13">
        <f>F13*Inputs!$C$15</f>
        <v>399059583.25032586</v>
      </c>
      <c r="G14" s="13">
        <f>SUM(C14:F14)</f>
        <v>1691959382.8752937</v>
      </c>
    </row>
    <row r="15" spans="1:7" ht="9.75">
      <c r="A15" s="20">
        <f>A14+1</f>
        <v>4</v>
      </c>
      <c r="B15" s="1" t="s">
        <v>128</v>
      </c>
      <c r="C15" s="12">
        <f>C14*Inputs!$C$8</f>
        <v>575960901.3261693</v>
      </c>
      <c r="D15" s="13">
        <f>D14*Inputs!$C$8</f>
        <v>331149562.5650066</v>
      </c>
      <c r="E15" s="13">
        <f>E14*Inputs!$C$8</f>
        <v>385789335.7337919</v>
      </c>
      <c r="F15" s="13">
        <f>F14*Inputs!$C$8</f>
        <v>399059583.25032586</v>
      </c>
      <c r="G15" s="13">
        <f>SUM(C15:F15)</f>
        <v>1691959382.8752937</v>
      </c>
    </row>
    <row r="16" spans="1:7" ht="9.75">
      <c r="A16" s="20">
        <f>A15+1</f>
        <v>5</v>
      </c>
      <c r="B16" s="1" t="s">
        <v>62</v>
      </c>
      <c r="C16" s="12">
        <f>C15+C23</f>
        <v>640468522.2747002</v>
      </c>
      <c r="D16" s="13">
        <f>D15+D23</f>
        <v>368238313.5722873</v>
      </c>
      <c r="E16" s="13">
        <f>E15+E23</f>
        <v>428997741.3359766</v>
      </c>
      <c r="F16" s="13">
        <f>F15+F23</f>
        <v>443754256.5743624</v>
      </c>
      <c r="G16" s="13">
        <f>SUM(C16:F16)</f>
        <v>1881458833.7573266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230384360.53046772</v>
      </c>
      <c r="D19" s="13">
        <f>D14*Inputs!$C$16</f>
        <v>132459825.02600265</v>
      </c>
      <c r="E19" s="13">
        <f>E14*Inputs!$C$16</f>
        <v>154315734.29351676</v>
      </c>
      <c r="F19" s="13">
        <f>F14*Inputs!$C$16</f>
        <v>159623833.30013034</v>
      </c>
      <c r="G19" s="13">
        <f>SUM(C19:F19)</f>
        <v>676783753.1501175</v>
      </c>
    </row>
    <row r="20" spans="1:7" ht="9.75">
      <c r="A20" s="20">
        <f>A19+1</f>
        <v>7</v>
      </c>
      <c r="B20" s="1" t="s">
        <v>5</v>
      </c>
      <c r="C20" s="12">
        <f>C19*Inputs!$C$8</f>
        <v>230384360.53046772</v>
      </c>
      <c r="D20" s="13">
        <f>D19*Inputs!$C$8</f>
        <v>132459825.02600265</v>
      </c>
      <c r="E20" s="13">
        <f>E19*Inputs!$C$8</f>
        <v>154315734.29351676</v>
      </c>
      <c r="F20" s="13">
        <f>F19*Inputs!$C$8</f>
        <v>159623833.30013034</v>
      </c>
      <c r="G20" s="13">
        <f>SUM(C20:F20)</f>
        <v>676783753.1501175</v>
      </c>
    </row>
    <row r="21" spans="1:7" ht="9.75">
      <c r="A21" s="20">
        <f>A20+1</f>
        <v>8</v>
      </c>
      <c r="B21" s="1" t="s">
        <v>62</v>
      </c>
      <c r="C21" s="12">
        <f>C20*(1+Inputs!$C$18)</f>
        <v>294891981.47899866</v>
      </c>
      <c r="D21" s="12">
        <f>D20*(1+Inputs!$C$18)</f>
        <v>169548576.03328338</v>
      </c>
      <c r="E21" s="12">
        <f>E20*(1+Inputs!$C$18)</f>
        <v>197524139.89570144</v>
      </c>
      <c r="F21" s="12">
        <f>F20*(1+Inputs!$C$18)</f>
        <v>204318506.62416685</v>
      </c>
      <c r="G21" s="13">
        <f>SUM(C21:F21)</f>
        <v>866283204.0321503</v>
      </c>
    </row>
    <row r="22" spans="1:7" ht="9.75">
      <c r="A22" s="20">
        <f>A21+1</f>
        <v>9</v>
      </c>
      <c r="B22" s="1" t="s">
        <v>12</v>
      </c>
      <c r="C22" s="12">
        <f>C21-C19</f>
        <v>64507620.94853094</v>
      </c>
      <c r="D22" s="13">
        <f>D21-D19</f>
        <v>37088751.00728074</v>
      </c>
      <c r="E22" s="13">
        <f>E21-E19</f>
        <v>43208405.60218468</v>
      </c>
      <c r="F22" s="13">
        <f>F21-F19</f>
        <v>44694673.32403651</v>
      </c>
      <c r="G22" s="13">
        <f>SUM(C22:F22)</f>
        <v>189499450.88203287</v>
      </c>
    </row>
    <row r="23" spans="1:7" ht="9.75">
      <c r="A23" s="20">
        <f>A22+1</f>
        <v>10</v>
      </c>
      <c r="B23" s="47" t="s">
        <v>8</v>
      </c>
      <c r="C23" s="50">
        <f>C21-C20</f>
        <v>64507620.94853094</v>
      </c>
      <c r="D23" s="51">
        <f>D21-D20</f>
        <v>37088751.00728074</v>
      </c>
      <c r="E23" s="51">
        <f>E21-E20</f>
        <v>43208405.60218468</v>
      </c>
      <c r="F23" s="51">
        <f>F21-F20</f>
        <v>44694673.32403651</v>
      </c>
      <c r="G23" s="51">
        <f>SUM(C23:F23)</f>
        <v>189499450.88203287</v>
      </c>
    </row>
    <row r="24" spans="3:7" ht="9.75">
      <c r="C24" s="37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99708117.56367998</v>
      </c>
      <c r="D28" s="8">
        <f>D21*(D29/D23)</f>
        <v>57327328.01717467</v>
      </c>
      <c r="E28" s="8">
        <f>E21*(E29/E23)</f>
        <v>66786353.64586192</v>
      </c>
      <c r="F28" s="8">
        <f>F21*(F29/F23)</f>
        <v>69083647.43165728</v>
      </c>
      <c r="G28" s="13">
        <f>SUM(C28:F28)</f>
        <v>292905446.65837383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21811150.71705499</v>
      </c>
      <c r="D29" s="8">
        <f>VLOOKUP($B$4,Inputs!$B$55:$C$82,2,FALSE)*D23</f>
        <v>12540353.003756957</v>
      </c>
      <c r="E29" s="8">
        <f>VLOOKUP($B$4,Inputs!$B$55:$C$82,2,FALSE)*E23</f>
        <v>14609514.860032294</v>
      </c>
      <c r="F29" s="8">
        <f>VLOOKUP($B$4,Inputs!$B$55:$C$82,2,FALSE)*F23</f>
        <v>15112047.875675036</v>
      </c>
      <c r="G29" s="8">
        <f>SUM(C29:F29)</f>
        <v>64073066.456519276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6543345.215116496</v>
      </c>
      <c r="D30" s="49">
        <f>VLOOKUP($B$4,Inputs!$B$21:$C$49,2,FALSE)*D29</f>
        <v>3762105.901127087</v>
      </c>
      <c r="E30" s="49">
        <f>VLOOKUP($B$4,Inputs!$B$21:$C$49,2,FALSE)*E29</f>
        <v>4382854.458009688</v>
      </c>
      <c r="F30" s="49">
        <f>VLOOKUP($B$4,Inputs!$B$21:$C$49,2,FALSE)*F29</f>
        <v>4533614.36270251</v>
      </c>
      <c r="G30" s="49">
        <f>SUM(C30:F30)</f>
        <v>19221919.93695578</v>
      </c>
    </row>
    <row r="31" spans="1:7" ht="9.75">
      <c r="A31" s="20">
        <f>A30+1</f>
        <v>14</v>
      </c>
      <c r="B31" s="1" t="s">
        <v>43</v>
      </c>
      <c r="C31" s="10">
        <f>C29-C30</f>
        <v>15267805.501938492</v>
      </c>
      <c r="D31" s="8">
        <f>D29-D30</f>
        <v>8778247.10262987</v>
      </c>
      <c r="E31" s="8">
        <f>E29-E30</f>
        <v>10226660.402022606</v>
      </c>
      <c r="F31" s="8">
        <f>F29-F30</f>
        <v>10578433.512972526</v>
      </c>
      <c r="G31" s="8">
        <f>SUM(C31:F31)</f>
        <v>44851146.519563496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21096955.35705522</v>
      </c>
      <c r="D36" s="8">
        <f>D23*VLOOKUP($B$4,Inputs!$B$86:$C$113,2,FALSE)</f>
        <v>12129725.33700854</v>
      </c>
      <c r="E36" s="8">
        <f>E23*VLOOKUP($B$4,Inputs!$B$86:$C$113,2,FALSE)</f>
        <v>14131133.510041257</v>
      </c>
      <c r="F36" s="8">
        <f>F23*VLOOKUP($B$4,Inputs!$B$86:$C$113,2,FALSE)</f>
        <v>14617211.330234908</v>
      </c>
      <c r="G36" s="8">
        <f>G23*VLOOKUP($B$4,Inputs!$B$86:$C$113,2,FALSE)</f>
        <v>61975025.53433993</v>
      </c>
    </row>
    <row r="37" spans="1:7" ht="9.75">
      <c r="A37" s="20">
        <f>A36+1</f>
        <v>16</v>
      </c>
      <c r="B37" s="1" t="s">
        <v>10</v>
      </c>
      <c r="C37" s="10">
        <f>C31-C36</f>
        <v>-5829149.855116729</v>
      </c>
      <c r="D37" s="10">
        <f>D31-D36</f>
        <v>-3351478.2343786694</v>
      </c>
      <c r="E37" s="10">
        <f>E31-E36</f>
        <v>-3904473.1080186516</v>
      </c>
      <c r="F37" s="10">
        <f>F31-F36</f>
        <v>-4038777.8172623813</v>
      </c>
      <c r="G37" s="8">
        <f>G31-G36</f>
        <v>-17123879.01477643</v>
      </c>
    </row>
    <row r="38" spans="3:7" ht="9.75">
      <c r="C38" s="9"/>
      <c r="D38" s="7"/>
      <c r="E38" s="7"/>
      <c r="F38" s="7"/>
      <c r="G38" s="7"/>
    </row>
    <row r="40" ht="9.75">
      <c r="B40" s="5" t="s">
        <v>168</v>
      </c>
    </row>
    <row r="41" ht="9.75">
      <c r="B41" s="1" t="s">
        <v>170</v>
      </c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68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Reg Saturation Letters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Reg Saturation Letters FY23</v>
      </c>
      <c r="C12" s="63">
        <f>VLOOKUP($B$4,'RPW Vol and Rev'!$B$8:$H$43,MATCH('Reg Letters'!C$8,'RPW Vol and Rev'!$B$8:$H$8,FALSE),FALSE)</f>
        <v>478868435</v>
      </c>
      <c r="D12" s="21">
        <f>VLOOKUP($B$4,'RPW Vol and Rev'!$K$8:$P$43,MATCH('Reg Letters'!D$8,'RPW Vol and Rev'!$K$8:$P$8,FALSE),FALSE)</f>
        <v>491159877</v>
      </c>
      <c r="E12" s="22">
        <f>VLOOKUP($B$4,'RPW Vol and Rev'!$K$8:$P$43,MATCH('Reg Letters'!E$8,'RPW Vol and Rev'!$K$8:$P$8,FALSE),FALSE)</f>
        <v>501966491.57443243</v>
      </c>
      <c r="F12" s="22">
        <f>VLOOKUP($B$4,'RPW Vol and Rev'!$K$8:$P$43,MATCH('Reg Letters'!F$8,'RPW Vol and Rev'!$K$8:$P$8,FALSE),FALSE)</f>
        <v>489074550.7879175</v>
      </c>
      <c r="G12" s="13">
        <f>SUM(C12:F12)</f>
        <v>1961069354.36235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Reg Saturation Letters FY23</v>
      </c>
      <c r="C13" s="12">
        <f>C12*Inputs!$C$14</f>
        <v>401607562.0165252</v>
      </c>
      <c r="D13" s="13">
        <f>D12*Inputs!$C$14</f>
        <v>411915896.6122008</v>
      </c>
      <c r="E13" s="13">
        <f>E12*Inputs!$C$14</f>
        <v>420978966.5823275</v>
      </c>
      <c r="F13" s="13">
        <f>F12*Inputs!$C$14</f>
        <v>410167017.9749116</v>
      </c>
      <c r="G13" s="13">
        <f>SUM(C13:F13)</f>
        <v>1644669443.185965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Reg Saturation Letters FY23</v>
      </c>
      <c r="C14" s="12">
        <f>C13*Inputs!$C$15</f>
        <v>200803781.0082626</v>
      </c>
      <c r="D14" s="13">
        <f>D13*Inputs!$C$15</f>
        <v>205957948.3061004</v>
      </c>
      <c r="E14" s="13">
        <f>E13*Inputs!$C$15</f>
        <v>210489483.29116374</v>
      </c>
      <c r="F14" s="13">
        <f>F13*Inputs!$C$15</f>
        <v>205083508.9874558</v>
      </c>
      <c r="G14" s="13">
        <f>SUM(C14:F14)</f>
        <v>822334721.5929825</v>
      </c>
    </row>
    <row r="15" spans="1:7" ht="9.75">
      <c r="A15" s="20">
        <f>A14+1</f>
        <v>4</v>
      </c>
      <c r="B15" s="1" t="s">
        <v>128</v>
      </c>
      <c r="C15" s="12">
        <f>C14*Inputs!$C$8</f>
        <v>200803781.0082626</v>
      </c>
      <c r="D15" s="13">
        <f>D14*Inputs!$C$8</f>
        <v>205957948.3061004</v>
      </c>
      <c r="E15" s="13">
        <f>E14*Inputs!$C$8</f>
        <v>210489483.29116374</v>
      </c>
      <c r="F15" s="13">
        <f>F14*Inputs!$C$8</f>
        <v>205083508.9874558</v>
      </c>
      <c r="G15" s="13">
        <f>SUM(C15:F15)</f>
        <v>822334721.5929825</v>
      </c>
    </row>
    <row r="16" spans="1:7" ht="9.75">
      <c r="A16" s="20">
        <f>A15+1</f>
        <v>5</v>
      </c>
      <c r="B16" s="1" t="s">
        <v>62</v>
      </c>
      <c r="C16" s="12">
        <f>C15+C23</f>
        <v>223293804.481188</v>
      </c>
      <c r="D16" s="13">
        <f>D15+D23</f>
        <v>229025238.51638365</v>
      </c>
      <c r="E16" s="13">
        <f>E15+E23</f>
        <v>234064305.4197741</v>
      </c>
      <c r="F16" s="13">
        <f>F15+F23</f>
        <v>228052861.99405086</v>
      </c>
      <c r="G16" s="13">
        <f>SUM(C16:F16)</f>
        <v>914436210.4113966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80321512.40330504</v>
      </c>
      <c r="D19" s="13">
        <f>D14*Inputs!$C$16</f>
        <v>82383179.32244016</v>
      </c>
      <c r="E19" s="13">
        <f>E14*Inputs!$C$16</f>
        <v>84195793.3164655</v>
      </c>
      <c r="F19" s="13">
        <f>F14*Inputs!$C$16</f>
        <v>82033403.59498233</v>
      </c>
      <c r="G19" s="13">
        <f>SUM(C19:F19)</f>
        <v>328933888.637193</v>
      </c>
    </row>
    <row r="20" spans="1:7" ht="9.75">
      <c r="A20" s="20">
        <f>A19+1</f>
        <v>7</v>
      </c>
      <c r="B20" s="1" t="s">
        <v>5</v>
      </c>
      <c r="C20" s="12">
        <f>C19*Inputs!$C$8</f>
        <v>80321512.40330504</v>
      </c>
      <c r="D20" s="13">
        <f>D19*Inputs!$C$8</f>
        <v>82383179.32244016</v>
      </c>
      <c r="E20" s="13">
        <f>E19*Inputs!$C$8</f>
        <v>84195793.3164655</v>
      </c>
      <c r="F20" s="13">
        <f>F19*Inputs!$C$8</f>
        <v>82033403.59498233</v>
      </c>
      <c r="G20" s="13">
        <f>SUM(C20:F20)</f>
        <v>328933888.637193</v>
      </c>
    </row>
    <row r="21" spans="1:7" ht="9.75">
      <c r="A21" s="20">
        <f>A20+1</f>
        <v>8</v>
      </c>
      <c r="B21" s="1" t="s">
        <v>62</v>
      </c>
      <c r="C21" s="12">
        <f>C20*(1+Inputs!$C$18)</f>
        <v>102811535.87623045</v>
      </c>
      <c r="D21" s="12">
        <f>D20*(1+Inputs!$C$18)</f>
        <v>105450469.53272341</v>
      </c>
      <c r="E21" s="12">
        <f>E20*(1+Inputs!$C$18)</f>
        <v>107770615.44507584</v>
      </c>
      <c r="F21" s="12">
        <f>F20*(1+Inputs!$C$18)</f>
        <v>105002756.60157739</v>
      </c>
      <c r="G21" s="13">
        <f>SUM(C21:F21)</f>
        <v>421035377.45560706</v>
      </c>
    </row>
    <row r="22" spans="1:7" ht="9.75">
      <c r="A22" s="20">
        <f>A21+1</f>
        <v>9</v>
      </c>
      <c r="B22" s="1" t="s">
        <v>12</v>
      </c>
      <c r="C22" s="12">
        <f>C21-C19</f>
        <v>22490023.47292541</v>
      </c>
      <c r="D22" s="13">
        <f>D21-D19</f>
        <v>23067290.21028325</v>
      </c>
      <c r="E22" s="13">
        <f>E21-E19</f>
        <v>23574822.128610343</v>
      </c>
      <c r="F22" s="13">
        <f>F21-F19</f>
        <v>22969353.00659506</v>
      </c>
      <c r="G22" s="13">
        <f>SUM(C22:F22)</f>
        <v>92101488.81841406</v>
      </c>
    </row>
    <row r="23" spans="1:7" ht="9.75">
      <c r="A23" s="20">
        <f>A22+1</f>
        <v>10</v>
      </c>
      <c r="B23" s="47" t="s">
        <v>8</v>
      </c>
      <c r="C23" s="50">
        <f>C21-C20</f>
        <v>22490023.47292541</v>
      </c>
      <c r="D23" s="51">
        <f>D21-D20</f>
        <v>23067290.21028325</v>
      </c>
      <c r="E23" s="51">
        <f>E21-E20</f>
        <v>23574822.128610343</v>
      </c>
      <c r="F23" s="51">
        <f>F21-F20</f>
        <v>22969353.00659506</v>
      </c>
      <c r="G23" s="51">
        <f>SUM(C23:F23)</f>
        <v>92101488.81841406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18964510.019984134</v>
      </c>
      <c r="D28" s="8">
        <f>D21*(D29/D23)</f>
        <v>19451285.00436801</v>
      </c>
      <c r="E28" s="8">
        <f>E21*(E29/E23)</f>
        <v>19879256.729793865</v>
      </c>
      <c r="F28" s="8">
        <f>F21*(F29/F23)</f>
        <v>19368700.338197697</v>
      </c>
      <c r="G28" s="13">
        <f>SUM(C28:F28)</f>
        <v>77663752.0923437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4148486.5668715294</v>
      </c>
      <c r="D29" s="8">
        <f>VLOOKUP($B$4,Inputs!$B$55:$C$82,2,FALSE)*D23</f>
        <v>4254968.5947055025</v>
      </c>
      <c r="E29" s="8">
        <f>VLOOKUP($B$4,Inputs!$B$55:$C$82,2,FALSE)*E23</f>
        <v>4348587.409642409</v>
      </c>
      <c r="F29" s="8">
        <f>VLOOKUP($B$4,Inputs!$B$55:$C$82,2,FALSE)*F23</f>
        <v>4236903.198980748</v>
      </c>
      <c r="G29" s="8">
        <f>SUM(C29:F29)</f>
        <v>16988945.77020019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1244545.9700614589</v>
      </c>
      <c r="D30" s="49">
        <f>VLOOKUP($B$4,Inputs!$B$21:$C$49,2,FALSE)*D29</f>
        <v>1276490.5784116506</v>
      </c>
      <c r="E30" s="49">
        <f>VLOOKUP($B$4,Inputs!$B$21:$C$49,2,FALSE)*E29</f>
        <v>1304576.2228927226</v>
      </c>
      <c r="F30" s="49">
        <f>VLOOKUP($B$4,Inputs!$B$21:$C$49,2,FALSE)*F29</f>
        <v>1271070.9596942242</v>
      </c>
      <c r="G30" s="49">
        <f>SUM(C30:F30)</f>
        <v>5096683.731060056</v>
      </c>
    </row>
    <row r="31" spans="1:7" ht="9.75">
      <c r="A31" s="20">
        <f>A30+1</f>
        <v>14</v>
      </c>
      <c r="B31" s="1" t="s">
        <v>43</v>
      </c>
      <c r="C31" s="10">
        <f>C29-C30</f>
        <v>2903940.596810071</v>
      </c>
      <c r="D31" s="8">
        <f>D29-D30</f>
        <v>2978478.0162938517</v>
      </c>
      <c r="E31" s="8">
        <f>E29-E30</f>
        <v>3044011.186749686</v>
      </c>
      <c r="F31" s="8">
        <f>F29-F30</f>
        <v>2965832.2392865233</v>
      </c>
      <c r="G31" s="8">
        <f>SUM(C31:F31)</f>
        <v>11892262.039140131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2265042.0411582645</v>
      </c>
      <c r="D36" s="8">
        <f>D23*VLOOKUP($B$4,Inputs!$B$86:$C$113,2,FALSE)</f>
        <v>2323180.416631809</v>
      </c>
      <c r="E36" s="8">
        <f>E23*VLOOKUP($B$4,Inputs!$B$86:$C$113,2,FALSE)</f>
        <v>2374295.575921193</v>
      </c>
      <c r="F36" s="8">
        <f>F23*VLOOKUP($B$4,Inputs!$B$86:$C$113,2,FALSE)</f>
        <v>2313316.848280523</v>
      </c>
      <c r="G36" s="8">
        <f>G23*VLOOKUP($B$4,Inputs!$B$86:$C$113,2,FALSE)</f>
        <v>9275834.88199179</v>
      </c>
    </row>
    <row r="37" spans="1:7" ht="9.75">
      <c r="A37" s="20">
        <f>A36+1</f>
        <v>16</v>
      </c>
      <c r="B37" s="1" t="s">
        <v>10</v>
      </c>
      <c r="C37" s="10">
        <f>C31-C36</f>
        <v>638898.5556518063</v>
      </c>
      <c r="D37" s="10">
        <f>D31-D36</f>
        <v>655297.5996620427</v>
      </c>
      <c r="E37" s="10">
        <f>E31-E36</f>
        <v>669715.6108284928</v>
      </c>
      <c r="F37" s="10">
        <f>F31-F36</f>
        <v>652515.3910060003</v>
      </c>
      <c r="G37" s="8">
        <f>G31-G36</f>
        <v>2616427.1571483407</v>
      </c>
    </row>
    <row r="38" spans="3:7" ht="9.75">
      <c r="C38" s="9"/>
      <c r="D38" s="7"/>
      <c r="E38" s="7"/>
      <c r="F38" s="7"/>
      <c r="G38" s="7"/>
    </row>
  </sheetData>
  <sheetProtection/>
  <printOptions/>
  <pageMargins left="0.75" right="0.75" top="1" bottom="1" header="0.5" footer="0.5"/>
  <pageSetup horizontalDpi="200" verticalDpi="2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O41"/>
  <sheetViews>
    <sheetView tabSelected="1" zoomScalePageLayoutView="0" workbookViewId="0" topLeftCell="A28">
      <selection activeCell="D31" sqref="D31"/>
    </sheetView>
  </sheetViews>
  <sheetFormatPr defaultColWidth="9.140625" defaultRowHeight="12.75"/>
  <cols>
    <col min="1" max="1" width="2.8515625" style="20" customWidth="1"/>
    <col min="2" max="2" width="40.57421875" style="1" customWidth="1"/>
    <col min="3" max="7" width="13.57421875" style="1" customWidth="1"/>
    <col min="8" max="8" width="9.140625" style="1" customWidth="1"/>
    <col min="9" max="9" width="15.00390625" style="1" bestFit="1" customWidth="1"/>
    <col min="10" max="16384" width="9.140625" style="1" customWidth="1"/>
  </cols>
  <sheetData>
    <row r="2" ht="19.5">
      <c r="B2" s="2" t="str">
        <f>Inputs!B2</f>
        <v>CY2024 Marketing Mail Incentive Program</v>
      </c>
    </row>
    <row r="3" ht="12.75">
      <c r="B3" s="3" t="str">
        <f>'Summary Financials'!B3</f>
        <v>Mid-Range Financial Estimates</v>
      </c>
    </row>
    <row r="4" ht="9.75">
      <c r="B4" s="4" t="s">
        <v>69</v>
      </c>
    </row>
    <row r="5" ht="9.75">
      <c r="B5" s="4"/>
    </row>
    <row r="6" ht="9.75">
      <c r="B6" s="4"/>
    </row>
    <row r="7" ht="9.75">
      <c r="B7" s="4"/>
    </row>
    <row r="8" spans="2:9" ht="10.5">
      <c r="B8" s="6"/>
      <c r="C8" s="64" t="s">
        <v>123</v>
      </c>
      <c r="D8" s="64" t="s">
        <v>124</v>
      </c>
      <c r="E8" s="64" t="s">
        <v>125</v>
      </c>
      <c r="F8" s="64" t="s">
        <v>126</v>
      </c>
      <c r="I8" s="6"/>
    </row>
    <row r="9" spans="3:7" ht="10.5">
      <c r="C9" s="57" t="str">
        <f>B4&amp;" Financials"</f>
        <v>Reg Saturation Flats Financials</v>
      </c>
      <c r="D9" s="55"/>
      <c r="E9" s="55"/>
      <c r="F9" s="56"/>
      <c r="G9" s="58"/>
    </row>
    <row r="10" spans="2:15" ht="9.75">
      <c r="B10" s="41" t="s">
        <v>0</v>
      </c>
      <c r="C10" s="40" t="s">
        <v>53</v>
      </c>
      <c r="D10" s="15" t="s">
        <v>54</v>
      </c>
      <c r="E10" s="15" t="s">
        <v>55</v>
      </c>
      <c r="F10" s="15" t="s">
        <v>56</v>
      </c>
      <c r="G10" s="15" t="s">
        <v>51</v>
      </c>
      <c r="I10" s="24"/>
      <c r="J10" s="38"/>
      <c r="K10" s="38"/>
      <c r="L10" s="38"/>
      <c r="M10" s="38"/>
      <c r="N10" s="38"/>
      <c r="O10" s="11"/>
    </row>
    <row r="11" spans="2:15" ht="10.5">
      <c r="B11" s="61" t="s">
        <v>20</v>
      </c>
      <c r="C11" s="59"/>
      <c r="D11" s="14"/>
      <c r="E11" s="14"/>
      <c r="F11" s="14"/>
      <c r="G11" s="14"/>
      <c r="I11" s="24"/>
      <c r="J11" s="38"/>
      <c r="K11" s="38"/>
      <c r="L11" s="38"/>
      <c r="M11" s="38"/>
      <c r="N11" s="38"/>
      <c r="O11" s="11"/>
    </row>
    <row r="12" spans="1:15" ht="9.75">
      <c r="A12" s="20">
        <v>1</v>
      </c>
      <c r="B12" s="1" t="str">
        <f>"Total "&amp;B4&amp;" FY23"</f>
        <v>Total Reg Saturation Flats FY23</v>
      </c>
      <c r="C12" s="63">
        <f>VLOOKUP($B$4,'RPW Vol and Rev'!$B$8:$H$43,MATCH('Reg Letters'!C$8,'RPW Vol and Rev'!$B$8:$H$8,FALSE),FALSE)</f>
        <v>1275327066</v>
      </c>
      <c r="D12" s="21">
        <f>VLOOKUP($B$4,'RPW Vol and Rev'!$K$8:$P$43,MATCH('Reg Letters'!D$8,'RPW Vol and Rev'!$K$8:$P$8,FALSE),FALSE)</f>
        <v>1209683865</v>
      </c>
      <c r="E12" s="22">
        <f>VLOOKUP($B$4,'RPW Vol and Rev'!$K$8:$P$43,MATCH('Reg Letters'!E$8,'RPW Vol and Rev'!$K$8:$P$8,FALSE),FALSE)</f>
        <v>1264866893.7793877</v>
      </c>
      <c r="F12" s="22">
        <f>VLOOKUP($B$4,'RPW Vol and Rev'!$K$8:$P$43,MATCH('Reg Letters'!F$8,'RPW Vol and Rev'!$K$8:$P$8,FALSE),FALSE)</f>
        <v>1200087217.618961</v>
      </c>
      <c r="G12" s="13">
        <f>SUM(C12:F12)</f>
        <v>4949965042.398349</v>
      </c>
      <c r="I12" s="11"/>
      <c r="J12" s="39"/>
      <c r="K12" s="39"/>
      <c r="L12" s="39"/>
      <c r="M12" s="39"/>
      <c r="N12" s="39"/>
      <c r="O12" s="11"/>
    </row>
    <row r="13" spans="1:15" ht="9.75">
      <c r="A13" s="20">
        <f>A12+1</f>
        <v>2</v>
      </c>
      <c r="B13" s="1" t="str">
        <f>"Eligible "&amp;B4&amp;" FY23"</f>
        <v>Eligible Reg Saturation Flats FY23</v>
      </c>
      <c r="C13" s="12">
        <f>C12*Inputs!$C$14</f>
        <v>1069565158.8519258</v>
      </c>
      <c r="D13" s="13">
        <f>D12*Inputs!$C$14</f>
        <v>1014512864.756637</v>
      </c>
      <c r="E13" s="13">
        <f>E12*Inputs!$C$14</f>
        <v>1060792636.0528547</v>
      </c>
      <c r="F13" s="13">
        <f>F12*Inputs!$C$14</f>
        <v>1006464545.2673156</v>
      </c>
      <c r="G13" s="13">
        <f>SUM(C13:F13)</f>
        <v>4151335204.928733</v>
      </c>
      <c r="I13" s="11"/>
      <c r="J13" s="11"/>
      <c r="K13" s="11"/>
      <c r="L13" s="11"/>
      <c r="M13" s="11"/>
      <c r="N13" s="11"/>
      <c r="O13" s="11"/>
    </row>
    <row r="14" spans="1:7" ht="9.75">
      <c r="A14" s="20">
        <f>A13+1</f>
        <v>3</v>
      </c>
      <c r="B14" s="1" t="str">
        <f>"Participating "&amp;B4&amp;" FY23"</f>
        <v>Participating Reg Saturation Flats FY23</v>
      </c>
      <c r="C14" s="12">
        <f>C13*Inputs!$C$15</f>
        <v>534782579.4259629</v>
      </c>
      <c r="D14" s="13">
        <f>D13*Inputs!$C$15</f>
        <v>507256432.3783185</v>
      </c>
      <c r="E14" s="13">
        <f>E13*Inputs!$C$15</f>
        <v>530396318.0264273</v>
      </c>
      <c r="F14" s="13">
        <f>F13*Inputs!$C$15</f>
        <v>503232272.6336578</v>
      </c>
      <c r="G14" s="13">
        <f>SUM(C14:F14)</f>
        <v>2075667602.4643664</v>
      </c>
    </row>
    <row r="15" spans="1:7" ht="9.75">
      <c r="A15" s="20">
        <f>A14+1</f>
        <v>4</v>
      </c>
      <c r="B15" s="1" t="s">
        <v>128</v>
      </c>
      <c r="C15" s="12">
        <f>C14*Inputs!$C$8</f>
        <v>534782579.4259629</v>
      </c>
      <c r="D15" s="13">
        <f>D14*Inputs!$C$8</f>
        <v>507256432.3783185</v>
      </c>
      <c r="E15" s="13">
        <f>E14*Inputs!$C$8</f>
        <v>530396318.0264273</v>
      </c>
      <c r="F15" s="13">
        <f>F14*Inputs!$C$8</f>
        <v>503232272.6336578</v>
      </c>
      <c r="G15" s="13">
        <f>SUM(C15:F15)</f>
        <v>2075667602.4643664</v>
      </c>
    </row>
    <row r="16" spans="1:7" ht="9.75">
      <c r="A16" s="20">
        <f>A15+1</f>
        <v>5</v>
      </c>
      <c r="B16" s="1" t="s">
        <v>62</v>
      </c>
      <c r="C16" s="12">
        <f>C15+C23</f>
        <v>594678228.3216708</v>
      </c>
      <c r="D16" s="13">
        <f>D15+D23</f>
        <v>564069152.8046901</v>
      </c>
      <c r="E16" s="13">
        <f>E15+E23</f>
        <v>589800705.6453872</v>
      </c>
      <c r="F16" s="13">
        <f>F15+F23</f>
        <v>559594287.1686275</v>
      </c>
      <c r="G16" s="13">
        <f>SUM(C16:F16)</f>
        <v>2308142373.9403753</v>
      </c>
    </row>
    <row r="17" spans="3:7" ht="9.75">
      <c r="C17" s="9"/>
      <c r="D17" s="7"/>
      <c r="E17" s="7"/>
      <c r="F17" s="7"/>
      <c r="G17" s="7"/>
    </row>
    <row r="18" spans="2:7" ht="9.75">
      <c r="B18" s="5" t="s">
        <v>23</v>
      </c>
      <c r="C18" s="9"/>
      <c r="D18" s="7"/>
      <c r="E18" s="7"/>
      <c r="F18" s="7"/>
      <c r="G18" s="7"/>
    </row>
    <row r="19" spans="1:7" ht="9.75">
      <c r="A19" s="20">
        <f>A16+1</f>
        <v>6</v>
      </c>
      <c r="B19" s="1" t="s">
        <v>127</v>
      </c>
      <c r="C19" s="12">
        <f>C14*Inputs!$C$16</f>
        <v>213913031.77038518</v>
      </c>
      <c r="D19" s="13">
        <f>D14*Inputs!$C$16</f>
        <v>202902572.9513274</v>
      </c>
      <c r="E19" s="13">
        <f>E14*Inputs!$C$16</f>
        <v>212158527.21057093</v>
      </c>
      <c r="F19" s="13">
        <f>F14*Inputs!$C$16</f>
        <v>201292909.05346313</v>
      </c>
      <c r="G19" s="13">
        <f>SUM(C19:F19)</f>
        <v>830267040.9857466</v>
      </c>
    </row>
    <row r="20" spans="1:7" ht="9.75">
      <c r="A20" s="20">
        <f>A19+1</f>
        <v>7</v>
      </c>
      <c r="B20" s="1" t="s">
        <v>5</v>
      </c>
      <c r="C20" s="12">
        <f>C19*Inputs!$C$8</f>
        <v>213913031.77038518</v>
      </c>
      <c r="D20" s="13">
        <f>D19*Inputs!$C$8</f>
        <v>202902572.9513274</v>
      </c>
      <c r="E20" s="13">
        <f>E19*Inputs!$C$8</f>
        <v>212158527.21057093</v>
      </c>
      <c r="F20" s="13">
        <f>F19*Inputs!$C$8</f>
        <v>201292909.05346313</v>
      </c>
      <c r="G20" s="13">
        <f>SUM(C20:F20)</f>
        <v>830267040.9857466</v>
      </c>
    </row>
    <row r="21" spans="1:7" ht="9.75">
      <c r="A21" s="20">
        <f>A20+1</f>
        <v>8</v>
      </c>
      <c r="B21" s="1" t="s">
        <v>62</v>
      </c>
      <c r="C21" s="12">
        <f>C20*(1+Inputs!$C$18)</f>
        <v>273808680.66609305</v>
      </c>
      <c r="D21" s="12">
        <f>D20*(1+Inputs!$C$18)</f>
        <v>259715293.3776991</v>
      </c>
      <c r="E21" s="12">
        <f>E20*(1+Inputs!$C$18)</f>
        <v>271562914.8295308</v>
      </c>
      <c r="F21" s="12">
        <f>F20*(1+Inputs!$C$18)</f>
        <v>257654923.58843282</v>
      </c>
      <c r="G21" s="13">
        <f>SUM(C21:F21)</f>
        <v>1062741812.4617558</v>
      </c>
    </row>
    <row r="22" spans="1:7" ht="9.75">
      <c r="A22" s="20">
        <f>A21+1</f>
        <v>9</v>
      </c>
      <c r="B22" s="1" t="s">
        <v>12</v>
      </c>
      <c r="C22" s="12">
        <f>C21-C19</f>
        <v>59895648.895707875</v>
      </c>
      <c r="D22" s="13">
        <f>D21-D19</f>
        <v>56812720.42637169</v>
      </c>
      <c r="E22" s="13">
        <f>E21-E19</f>
        <v>59404387.618959844</v>
      </c>
      <c r="F22" s="13">
        <f>F21-F19</f>
        <v>56362014.53496969</v>
      </c>
      <c r="G22" s="13">
        <f>SUM(C22:F22)</f>
        <v>232474771.4760091</v>
      </c>
    </row>
    <row r="23" spans="1:7" ht="9.75">
      <c r="A23" s="20">
        <f>A22+1</f>
        <v>10</v>
      </c>
      <c r="B23" s="47" t="s">
        <v>8</v>
      </c>
      <c r="C23" s="50">
        <f>C21-C20</f>
        <v>59895648.895707875</v>
      </c>
      <c r="D23" s="51">
        <f>D21-D20</f>
        <v>56812720.42637169</v>
      </c>
      <c r="E23" s="51">
        <f>E21-E20</f>
        <v>59404387.618959844</v>
      </c>
      <c r="F23" s="51">
        <f>F21-F20</f>
        <v>56362014.53496969</v>
      </c>
      <c r="G23" s="51">
        <f>SUM(C23:F23)</f>
        <v>232474771.4760091</v>
      </c>
    </row>
    <row r="24" spans="3:7" ht="9.75">
      <c r="C24" s="12"/>
      <c r="D24" s="13"/>
      <c r="E24" s="13"/>
      <c r="F24" s="13"/>
      <c r="G24" s="13"/>
    </row>
    <row r="25" spans="3:7" ht="9.75">
      <c r="C25" s="12"/>
      <c r="D25" s="13"/>
      <c r="E25" s="13"/>
      <c r="F25" s="13"/>
      <c r="G25" s="13"/>
    </row>
    <row r="26" spans="3:7" ht="9.75">
      <c r="C26" s="12"/>
      <c r="D26" s="13"/>
      <c r="E26" s="13"/>
      <c r="F26" s="13"/>
      <c r="G26" s="13"/>
    </row>
    <row r="27" spans="2:7" ht="9.75">
      <c r="B27" s="5" t="s">
        <v>21</v>
      </c>
      <c r="C27" s="12"/>
      <c r="D27" s="13"/>
      <c r="E27" s="13"/>
      <c r="F27" s="13"/>
      <c r="G27" s="13"/>
    </row>
    <row r="28" spans="1:7" ht="9.75">
      <c r="A28" s="20">
        <f>A23+1</f>
        <v>11</v>
      </c>
      <c r="B28" s="1" t="s">
        <v>116</v>
      </c>
      <c r="C28" s="10">
        <f>C21*(C29/C23)</f>
        <v>52275653.436532624</v>
      </c>
      <c r="D28" s="8">
        <f>D21*(D29/D23)</f>
        <v>49584938.78189622</v>
      </c>
      <c r="E28" s="8">
        <f>E21*(E29/E23)</f>
        <v>51846891.0018058</v>
      </c>
      <c r="F28" s="8">
        <f>F21*(F29/F23)</f>
        <v>49191572.228313014</v>
      </c>
      <c r="G28" s="13">
        <f>SUM(C28:F28)</f>
        <v>202899055.44854766</v>
      </c>
    </row>
    <row r="29" spans="1:7" ht="9.75">
      <c r="A29" s="20">
        <f>A28+1</f>
        <v>12</v>
      </c>
      <c r="B29" s="1" t="s">
        <v>26</v>
      </c>
      <c r="C29" s="10">
        <f>VLOOKUP($B$4,Inputs!$B$55:$C$82,2,FALSE)*C23</f>
        <v>11435299.189241515</v>
      </c>
      <c r="D29" s="8">
        <f>VLOOKUP($B$4,Inputs!$B$55:$C$82,2,FALSE)*D23</f>
        <v>10846705.358539801</v>
      </c>
      <c r="E29" s="8">
        <f>VLOOKUP($B$4,Inputs!$B$55:$C$82,2,FALSE)*E23</f>
        <v>11341507.406645017</v>
      </c>
      <c r="F29" s="8">
        <f>VLOOKUP($B$4,Inputs!$B$55:$C$82,2,FALSE)*F23</f>
        <v>10760656.424943473</v>
      </c>
      <c r="G29" s="8">
        <f>SUM(C29:F29)</f>
        <v>44384168.37936981</v>
      </c>
    </row>
    <row r="30" spans="1:7" ht="9.75">
      <c r="A30" s="20">
        <f>A29+1</f>
        <v>13</v>
      </c>
      <c r="B30" s="62" t="s">
        <v>22</v>
      </c>
      <c r="C30" s="48">
        <f>VLOOKUP($B$4,Inputs!$B$21:$C$49,2,FALSE)*C29</f>
        <v>3430589.7567724544</v>
      </c>
      <c r="D30" s="49">
        <f>VLOOKUP($B$4,Inputs!$B$21:$C$49,2,FALSE)*D29</f>
        <v>3254011.6075619403</v>
      </c>
      <c r="E30" s="49">
        <f>VLOOKUP($B$4,Inputs!$B$21:$C$49,2,FALSE)*E29</f>
        <v>3402452.221993505</v>
      </c>
      <c r="F30" s="49">
        <f>VLOOKUP($B$4,Inputs!$B$21:$C$49,2,FALSE)*F29</f>
        <v>3228196.927483042</v>
      </c>
      <c r="G30" s="49">
        <f>SUM(C30:F30)</f>
        <v>13315250.51381094</v>
      </c>
    </row>
    <row r="31" spans="1:7" ht="9.75">
      <c r="A31" s="20">
        <f>A30+1</f>
        <v>14</v>
      </c>
      <c r="B31" s="1" t="s">
        <v>43</v>
      </c>
      <c r="C31" s="10">
        <f>C29-C30</f>
        <v>8004709.432469061</v>
      </c>
      <c r="D31" s="8">
        <f>D29-D30</f>
        <v>7592693.750977861</v>
      </c>
      <c r="E31" s="8">
        <f>E29-E30</f>
        <v>7939055.184651512</v>
      </c>
      <c r="F31" s="8">
        <f>F29-F30</f>
        <v>7532459.497460431</v>
      </c>
      <c r="G31" s="8">
        <f>SUM(C31:F31)</f>
        <v>31068917.865558866</v>
      </c>
    </row>
    <row r="32" spans="3:7" ht="9.75">
      <c r="C32" s="10"/>
      <c r="D32" s="8"/>
      <c r="E32" s="8"/>
      <c r="F32" s="8"/>
      <c r="G32" s="8"/>
    </row>
    <row r="33" spans="3:7" ht="9.75">
      <c r="C33" s="9"/>
      <c r="D33" s="7"/>
      <c r="E33" s="7"/>
      <c r="F33" s="7"/>
      <c r="G33" s="7"/>
    </row>
    <row r="34" spans="3:7" ht="9.75">
      <c r="C34" s="9"/>
      <c r="D34" s="7"/>
      <c r="E34" s="7"/>
      <c r="F34" s="7"/>
      <c r="G34" s="7"/>
    </row>
    <row r="35" spans="2:7" ht="9.75">
      <c r="B35" s="5" t="s">
        <v>46</v>
      </c>
      <c r="C35" s="9"/>
      <c r="D35" s="7"/>
      <c r="E35" s="7"/>
      <c r="F35" s="7"/>
      <c r="G35" s="7"/>
    </row>
    <row r="36" spans="1:7" ht="9.75">
      <c r="A36" s="20">
        <f>A31+1</f>
        <v>15</v>
      </c>
      <c r="B36" s="1" t="s">
        <v>9</v>
      </c>
      <c r="C36" s="10">
        <f>C23*VLOOKUP($B$4,Inputs!$B$86:$C$113,2,FALSE)</f>
        <v>9168266.501490962</v>
      </c>
      <c r="D36" s="8">
        <f>D23*VLOOKUP($B$4,Inputs!$B$86:$C$113,2,FALSE)</f>
        <v>8696360.60627103</v>
      </c>
      <c r="E36" s="8">
        <f>E23*VLOOKUP($B$4,Inputs!$B$86:$C$113,2,FALSE)</f>
        <v>9093068.813676756</v>
      </c>
      <c r="F36" s="8">
        <f>F23*VLOOKUP($B$4,Inputs!$B$86:$C$113,2,FALSE)</f>
        <v>8627370.758054163</v>
      </c>
      <c r="G36" s="8">
        <f>G23*VLOOKUP($B$4,Inputs!$B$86:$C$113,2,FALSE)</f>
        <v>35585066.67949291</v>
      </c>
    </row>
    <row r="37" spans="1:7" ht="9.75">
      <c r="A37" s="20">
        <f>A36+1</f>
        <v>16</v>
      </c>
      <c r="B37" s="1" t="s">
        <v>10</v>
      </c>
      <c r="C37" s="10">
        <f>C31-C36</f>
        <v>-1163557.069021901</v>
      </c>
      <c r="D37" s="10">
        <f>D31-D36</f>
        <v>-1103666.8552931696</v>
      </c>
      <c r="E37" s="10">
        <f>E31-E36</f>
        <v>-1154013.6290252442</v>
      </c>
      <c r="F37" s="10">
        <f>F31-F36</f>
        <v>-1094911.260593732</v>
      </c>
      <c r="G37" s="8">
        <f>G31-G36</f>
        <v>-4516148.813934047</v>
      </c>
    </row>
    <row r="38" spans="3:7" ht="9.75">
      <c r="C38" s="9"/>
      <c r="D38" s="7"/>
      <c r="E38" s="7"/>
      <c r="F38" s="7"/>
      <c r="G38" s="7"/>
    </row>
    <row r="40" ht="9.75">
      <c r="B40" s="5" t="s">
        <v>168</v>
      </c>
    </row>
    <row r="41" ht="9.75">
      <c r="B41" s="1" t="s">
        <v>171</v>
      </c>
    </row>
  </sheetData>
  <sheetProtection/>
  <printOptions/>
  <pageMargins left="0.75" right="0.75" top="1" bottom="1" header="0.5" footer="0.5"/>
  <pageSetup horizontalDpi="200" verticalDpi="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bdmayer</dc:creator>
  <cp:keywords/>
  <dc:description/>
  <cp:lastModifiedBy>Tell, Clifford A - Washington, DC</cp:lastModifiedBy>
  <cp:lastPrinted>2013-09-05T21:36:26Z</cp:lastPrinted>
  <dcterms:created xsi:type="dcterms:W3CDTF">2013-08-13T19:20:21Z</dcterms:created>
  <dcterms:modified xsi:type="dcterms:W3CDTF">2023-08-11T13:23:34Z</dcterms:modified>
  <cp:category/>
  <cp:version/>
  <cp:contentType/>
  <cp:contentStatus/>
</cp:coreProperties>
</file>