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00" windowWidth="19200" windowHeight="6370" activeTab="0"/>
  </bookViews>
  <sheets>
    <sheet name="Inputs" sheetId="1" r:id="rId1"/>
    <sheet name="Cost Coverage" sheetId="2" state="hidden" r:id="rId2"/>
    <sheet name="Summary Financials" sheetId="3" r:id="rId3"/>
    <sheet name="Summary Range" sheetId="4" r:id="rId4"/>
    <sheet name="Presort Letters" sheetId="5" r:id="rId5"/>
    <sheet name="Presort Cards" sheetId="6" r:id="rId6"/>
    <sheet name="Flats" sheetId="7" r:id="rId7"/>
    <sheet name="RPW Vol and Rev" sheetId="8" r:id="rId8"/>
    <sheet name="First Class Mail Volume Trend" sheetId="9" r:id="rId9"/>
  </sheets>
  <externalReferences>
    <externalReference r:id="rId12"/>
  </externalReferences>
  <definedNames>
    <definedName name="_1_12_Mailings__100k">#REF!</definedName>
    <definedName name="_10_6_Mailings__500k">#REF!</definedName>
    <definedName name="_11_6_Mailings_100k_250k">#REF!</definedName>
    <definedName name="_12_6_Mailings_250k_500k">#REF!</definedName>
    <definedName name="_2_12_Mailings__500k">#REF!</definedName>
    <definedName name="_3_12_Mailings_100k_250k">#REF!</definedName>
    <definedName name="_4_12_Mailings_250k_500k">#REF!</definedName>
    <definedName name="_5_3_Mailings_100k_250k">#REF!</definedName>
    <definedName name="_6_3_Mailings_250k_500k">#REF!</definedName>
    <definedName name="_7_3_Mailings_gt_500k">#REF!</definedName>
    <definedName name="_8_3_Mailings_less_100k">#REF!</definedName>
    <definedName name="_9_6_Mailings__100k">#REF!</definedName>
    <definedName name="_oop3">#REF!</definedName>
    <definedName name="_xlfn.ANCHORARRAY" hidden="1">#NAME?</definedName>
    <definedName name="_xlfn.BAHTTEXT" hidden="1">#NAME?</definedName>
    <definedName name="_xlfn.FORECAST.ETS" hidden="1">#NAME?</definedName>
    <definedName name="_xlfn.IFERROR" hidden="1">#NAME?</definedName>
    <definedName name="_xlfn.IFNA" hidden="1">#NAME?</definedName>
    <definedName name="6_HD_2_Satmail">#REF!</definedName>
    <definedName name="A" localSheetId="6">OFFSET(ChartValues,0,-1)</definedName>
    <definedName name="A" localSheetId="7">OFFSET(ChartValues,0,-1)</definedName>
    <definedName name="A" localSheetId="3">OFFSET(ChartValues,0,-1)</definedName>
    <definedName name="A">OFFSET(ChartValues,0,-1)</definedName>
    <definedName name="Active_toggles">#REF!,#REF!</definedName>
    <definedName name="ActualValues">OFFSET(#REF!,0,0,COUNTA(#REF!),1)</definedName>
    <definedName name="asdf">#REF!</definedName>
    <definedName name="asdfg">#REF!</definedName>
    <definedName name="asdfgh">#REF!</definedName>
    <definedName name="B" localSheetId="7">OFFSET(FRBCume,0,-1)</definedName>
    <definedName name="B" localSheetId="3">OFFSET(FRBCume,0,-1)</definedName>
    <definedName name="B">OFFSET(FRBCume,0,-1)</definedName>
    <definedName name="CertEnd">#REF!</definedName>
    <definedName name="CFY">#REF!</definedName>
    <definedName name="ChtValues" localSheetId="6">OFFSET(ChartValues,0,-1)</definedName>
    <definedName name="ChtValues" localSheetId="7">OFFSET(ChartValues,0,-1)</definedName>
    <definedName name="ChtValues" localSheetId="3">OFFSET(ChartValues,0,-1)</definedName>
    <definedName name="ChtValues">OFFSET(ChartValues,0,-1)</definedName>
    <definedName name="CumeLabels" localSheetId="7">OFFSET(FRBCume,0,-1)</definedName>
    <definedName name="CumeLabels" localSheetId="3">OFFSET(FRBCume,0,-1)</definedName>
    <definedName name="CumeLabels">OFFSET(FRBCume,0,-1)</definedName>
    <definedName name="d">#REF!</definedName>
    <definedName name="DATA">#REF!</definedName>
    <definedName name="Database_v4">#REF!</definedName>
    <definedName name="DATE">#REF!</definedName>
    <definedName name="DAY">#REF!</definedName>
    <definedName name="Export03142010">#REF!</definedName>
    <definedName name="Export09302009">#REF!</definedName>
    <definedName name="Export10012009">#REF!</definedName>
    <definedName name="Export10022009">#REF!</definedName>
    <definedName name="Export10052009">#REF!</definedName>
    <definedName name="Export10062009">#REF!</definedName>
    <definedName name="Export10132009">#REF!</definedName>
    <definedName name="Export10152009">#REF!</definedName>
    <definedName name="Export10222009">#REF!</definedName>
    <definedName name="Export10292009">#REF!</definedName>
    <definedName name="Export11062009">#REF!</definedName>
    <definedName name="exported">#REF!</definedName>
    <definedName name="exported2">#REF!</definedName>
    <definedName name="F">#REF!</definedName>
    <definedName name="ForecastValues">OFFSET(#REF!,0,0,COUNTA(#REF!),1)</definedName>
    <definedName name="FRBCume">OFFSET(#REF!,0,0,COUNTA(#REF!),1)</definedName>
    <definedName name="FRBLift">OFFSET(#REF!,0,0,COUNTA(#REF!),1)</definedName>
    <definedName name="FROM_TO_MONTH">#REF!</definedName>
    <definedName name="FROM_TO_QT">#REF!</definedName>
    <definedName name="FROM_TO_YTD">#REF!</definedName>
    <definedName name="FY">#REF!</definedName>
    <definedName name="HD_03182010">#REF!</definedName>
    <definedName name="HD_data_03152010Export03142010">#REF!</definedName>
    <definedName name="Headers">#REF!</definedName>
    <definedName name="LastUpdate">#REF!</definedName>
    <definedName name="LFY">#REF!</definedName>
    <definedName name="LiftLabels" localSheetId="7">OFFSET(FRBLift,0,-3)</definedName>
    <definedName name="LiftLabels" localSheetId="3">OFFSET(FRBLift,0,-3)</definedName>
    <definedName name="LiftLabels">OFFSET(FRBLift,0,-3)</definedName>
    <definedName name="MC" localSheetId="7" hidden="1">{#N/A,#N/A,FALSE,"Natl-HQ-Svc-Fld cksht";#N/A,#N/A,FALSE,"Tie-in Cksht";#N/A,#N/A,FALSE,"Proof Sheet"}</definedName>
    <definedName name="MC" localSheetId="3" hidden="1">{#N/A,#N/A,FALSE,"Natl-HQ-Svc-Fld cksht";#N/A,#N/A,FALSE,"Tie-in Cksht";#N/A,#N/A,FALSE,"Proof Sheet"}</definedName>
    <definedName name="MC" hidden="1">{#N/A,#N/A,FALSE,"Natl-HQ-Svc-Fld cksht";#N/A,#N/A,FALSE,"Tie-in Cksht";#N/A,#N/A,FALSE,"Proof Sheet"}</definedName>
    <definedName name="MONTH">#REF!</definedName>
    <definedName name="Netflix">#REF!</definedName>
    <definedName name="ooops">#REF!</definedName>
    <definedName name="oops1">#REF!</definedName>
    <definedName name="oops3">#REF!</definedName>
    <definedName name="PercentPlan" localSheetId="6">OFFSET(TOTAL #REF!,0,0,COUNTA(TOTAL #REF!),1)</definedName>
    <definedName name="PercentPlan" localSheetId="7">OFFSET(TOTAL #REF!,0,0,COUNTA(TOTAL #REF!),1)</definedName>
    <definedName name="PercentPlan" localSheetId="3">OFFSET(TOTAL #REF!,0,0,COUNTA(TOTAL #REF!),1)</definedName>
    <definedName name="PercentPlan">OFFSET(TOTAL #REF!,0,0,COUNTA(TOTAL #REF!),1)</definedName>
    <definedName name="PRBLift">OFFSET(#REF!,0,0,COUNTA(#REF!),1)</definedName>
    <definedName name="prelim" localSheetId="7" hidden="1">{#N/A,#N/A,TRUE,"National";#N/A,#N/A,TRUE,"Rev Category ";#N/A,#N/A,TRUE,"Rev Source 2";#N/A,#N/A,TRUE,"Field Exp";#N/A,#N/A,TRUE,"Field Revenue all";#N/A,#N/A,TRUE,"Field WkHRS";#N/A,#N/A,TRUE,"orpes (3)"}</definedName>
    <definedName name="prelim" localSheetId="3" hidden="1">{#N/A,#N/A,TRUE,"National";#N/A,#N/A,TRUE,"Rev Category ";#N/A,#N/A,TRUE,"Rev Source 2";#N/A,#N/A,TRUE,"Field Exp";#N/A,#N/A,TRUE,"Field Revenue all";#N/A,#N/A,TRUE,"Field WkHRS";#N/A,#N/A,TRUE,"orpes (3)"}</definedName>
    <definedName name="prelim" hidden="1">{#N/A,#N/A,TRUE,"National";#N/A,#N/A,TRUE,"Rev Category ";#N/A,#N/A,TRUE,"Rev Source 2";#N/A,#N/A,TRUE,"Field Exp";#N/A,#N/A,TRUE,"Field Revenue all";#N/A,#N/A,TRUE,"Field WkHRS";#N/A,#N/A,TRUE,"orpes (3)"}</definedName>
    <definedName name="_xlnm.Print_Area" localSheetId="1">'Cost Coverage'!$A$1:$H$18</definedName>
    <definedName name="_xlnm.Print_Area" localSheetId="8">'First Class Mail Volume Trend'!$A$1:$C$9</definedName>
    <definedName name="_xlnm.Print_Area" localSheetId="6">'Flats'!$A$1:$H$43</definedName>
    <definedName name="_xlnm.Print_Area" localSheetId="0">'Inputs'!$A$1:$H$44</definedName>
    <definedName name="_xlnm.Print_Area" localSheetId="5">'Presort Cards'!$A$1:$H$43</definedName>
    <definedName name="_xlnm.Print_Area" localSheetId="4">'Presort Letters'!$A$1:$H$37</definedName>
    <definedName name="_xlnm.Print_Area" localSheetId="7">'RPW Vol and Rev'!$A$1:$I$16</definedName>
    <definedName name="_xlnm.Print_Area" localSheetId="2">'Summary Financials'!$A$1:$O$35</definedName>
    <definedName name="_xlnm.Print_Area" localSheetId="3">'Summary Range'!$A$1:$L$15</definedName>
    <definedName name="Print_Area_MI">#REF!</definedName>
    <definedName name="PriorityCume">OFFSET(#REF!,0,0,COUNTA(#REF!),1)</definedName>
    <definedName name="PriorityLift">OFFSET(#REF!,0,0,COUNTA(#REF!),1)</definedName>
    <definedName name="QT">#REF!</definedName>
    <definedName name="Raw_Data">#REF!</definedName>
    <definedName name="RegEnd">#REF!</definedName>
    <definedName name="REV">#REF!</definedName>
    <definedName name="Revenue__Management_case">#REF!</definedName>
    <definedName name="Revenue_Scenario_Name">#REF!</definedName>
    <definedName name="Satmail_03182010_night">#REF!</definedName>
    <definedName name="Satmail03182010">#REF!</definedName>
    <definedName name="sheet1Header">#REF!</definedName>
    <definedName name="sheet1LOF">#REF!</definedName>
    <definedName name="sheet1LOT">#REF!</definedName>
    <definedName name="sheet4LOF">#REF!</definedName>
    <definedName name="StatusOptions">#REF!</definedName>
    <definedName name="StatusReport">#REF!</definedName>
    <definedName name="Summer_Sale_Acct_6k_custlist">#REF!</definedName>
    <definedName name="tbl1">#REF!</definedName>
    <definedName name="tbl2">#REF!</definedName>
    <definedName name="ValEnd">#REF!</definedName>
    <definedName name="VOL">#REF!</definedName>
    <definedName name="wrn.Full._.Budget._.Package." localSheetId="7" hidden="1">{#N/A,#N/A,TRUE,"Field";#N/A,#N/A,TRUE,"HQ less servicewide";#N/A,#N/A,TRUE,"Servicewide";#N/A,#N/A,TRUE,"HQ Programs";#N/A,#N/A,TRUE,"Corporatewide (7X)"}</definedName>
    <definedName name="wrn.Full._.Budget._.Package." localSheetId="3" hidden="1">{#N/A,#N/A,TRUE,"Field";#N/A,#N/A,TRUE,"HQ less servicewide";#N/A,#N/A,TRUE,"Servicewide";#N/A,#N/A,TRUE,"HQ Programs";#N/A,#N/A,TRUE,"Corporatewide (7X)"}</definedName>
    <definedName name="wrn.Full._.Budget._.Package." hidden="1">{#N/A,#N/A,TRUE,"Field";#N/A,#N/A,TRUE,"HQ less servicewide";#N/A,#N/A,TRUE,"Servicewide";#N/A,#N/A,TRUE,"HQ Programs";#N/A,#N/A,TRUE,"Corporatewide (7X)"}</definedName>
    <definedName name="wrn.Full._.wksht._.file._.print." localSheetId="7" hidden="1">{#N/A,#N/A,FALSE,"National";#N/A,#N/A,FALSE,"Field";#N/A,#N/A,FALSE,"HQ less servicewide";#N/A,#N/A,FALSE,"HQ - SVW Wksht";#N/A,#N/A,FALSE,"Servicewide";#N/A,#N/A,FALSE,"HQ Programs";#N/A,#N/A,FALSE,"Corporatewide (7X)";#N/A,#N/A,FALSE,"Rev Category ";#N/A,#N/A,FALSE,"Field Exp";#N/A,#N/A,FALSE,"Field WkHRS";#N/A,#N/A,FALSE,"Rev Source 2";#N/A,#N/A,FALSE,"Field Revenue all"}</definedName>
    <definedName name="wrn.Full._.wksht._.file._.print." localSheetId="3" hidden="1">{#N/A,#N/A,FALSE,"National";#N/A,#N/A,FALSE,"Field";#N/A,#N/A,FALSE,"HQ less servicewide";#N/A,#N/A,FALSE,"HQ - SVW Wksht";#N/A,#N/A,FALSE,"Servicewide";#N/A,#N/A,FALSE,"HQ Programs";#N/A,#N/A,FALSE,"Corporatewide (7X)";#N/A,#N/A,FALSE,"Rev Category ";#N/A,#N/A,FALSE,"Field Exp";#N/A,#N/A,FALSE,"Field WkHRS";#N/A,#N/A,FALSE,"Rev Source 2";#N/A,#N/A,FALSE,"Field Revenue all"}</definedName>
    <definedName name="wrn.Full._.wksht._.file._.print." hidden="1">{#N/A,#N/A,FALSE,"National";#N/A,#N/A,FALSE,"Field";#N/A,#N/A,FALSE,"HQ less servicewide";#N/A,#N/A,FALSE,"HQ - SVW Wksht";#N/A,#N/A,FALSE,"Servicewide";#N/A,#N/A,FALSE,"HQ Programs";#N/A,#N/A,FALSE,"Corporatewide (7X)";#N/A,#N/A,FALSE,"Rev Category ";#N/A,#N/A,FALSE,"Field Exp";#N/A,#N/A,FALSE,"Field WkHRS";#N/A,#N/A,FALSE,"Rev Source 2";#N/A,#N/A,FALSE,"Field Revenue all"}</definedName>
    <definedName name="wrn.Prelim._.Package." localSheetId="7" hidden="1">{#N/A,#N/A,TRUE,"National";#N/A,#N/A,TRUE,"Rev Category ";#N/A,#N/A,TRUE,"Rev Source 2";#N/A,#N/A,TRUE,"Field Exp";#N/A,#N/A,TRUE,"Field Revenue all";#N/A,#N/A,TRUE,"Field WkHRS";#N/A,#N/A,TRUE,"orpes (3)"}</definedName>
    <definedName name="wrn.Prelim._.Package." localSheetId="3" hidden="1">{#N/A,#N/A,TRUE,"National";#N/A,#N/A,TRUE,"Rev Category ";#N/A,#N/A,TRUE,"Rev Source 2";#N/A,#N/A,TRUE,"Field Exp";#N/A,#N/A,TRUE,"Field Revenue all";#N/A,#N/A,TRUE,"Field WkHRS";#N/A,#N/A,TRUE,"orpes (3)"}</definedName>
    <definedName name="wrn.Prelim._.Package." hidden="1">{#N/A,#N/A,TRUE,"National";#N/A,#N/A,TRUE,"Rev Category ";#N/A,#N/A,TRUE,"Rev Source 2";#N/A,#N/A,TRUE,"Field Exp";#N/A,#N/A,TRUE,"Field Revenue all";#N/A,#N/A,TRUE,"Field WkHRS";#N/A,#N/A,TRUE,"orpes (3)"}</definedName>
    <definedName name="wrn.Print._.Proof._.Sheets." localSheetId="7" hidden="1">{#N/A,#N/A,FALSE,"Natl-HQ-Svc-Fld cksht";#N/A,#N/A,FALSE,"Tie-in Cksht";#N/A,#N/A,FALSE,"Proof Sheet"}</definedName>
    <definedName name="wrn.Print._.Proof._.Sheets." localSheetId="3" hidden="1">{#N/A,#N/A,FALSE,"Natl-HQ-Svc-Fld cksht";#N/A,#N/A,FALSE,"Tie-in Cksht";#N/A,#N/A,FALSE,"Proof Sheet"}</definedName>
    <definedName name="wrn.Print._.Proof._.Sheets." hidden="1">{#N/A,#N/A,FALSE,"Natl-HQ-Svc-Fld cksht";#N/A,#N/A,FALSE,"Tie-in Cksht";#N/A,#N/A,FALSE,"Proof Sheet"}</definedName>
  </definedNames>
  <calcPr fullCalcOnLoad="1"/>
</workbook>
</file>

<file path=xl/sharedStrings.xml><?xml version="1.0" encoding="utf-8"?>
<sst xmlns="http://schemas.openxmlformats.org/spreadsheetml/2006/main" count="345" uniqueCount="148">
  <si>
    <t>Inputs</t>
  </si>
  <si>
    <t>Item</t>
  </si>
  <si>
    <t>Value</t>
  </si>
  <si>
    <t>Description</t>
  </si>
  <si>
    <t>Source</t>
  </si>
  <si>
    <t>Program Requirements</t>
  </si>
  <si>
    <t>Threshold</t>
  </si>
  <si>
    <t>Discount on the avg rev/pc</t>
  </si>
  <si>
    <t>% of Eligible Volume Participating in Program</t>
  </si>
  <si>
    <t>Incremental Volume and Rebates Estimate</t>
  </si>
  <si>
    <t>Incremental Volume over Threshold (Rebate Vol)</t>
  </si>
  <si>
    <t>Attributable Cost of Incremental</t>
  </si>
  <si>
    <t>Total Net Contribution</t>
  </si>
  <si>
    <t>Volume Growth from Base</t>
  </si>
  <si>
    <t>= n - o</t>
  </si>
  <si>
    <t>Volume growth from base</t>
  </si>
  <si>
    <t>= l - m</t>
  </si>
  <si>
    <t>Source:</t>
  </si>
  <si>
    <t>Volume Projections</t>
  </si>
  <si>
    <t>Incremental Revenue</t>
  </si>
  <si>
    <t>Rebate Cost</t>
  </si>
  <si>
    <t>Growers</t>
  </si>
  <si>
    <t>Calculated</t>
  </si>
  <si>
    <t>Net Contribution from Incremental</t>
  </si>
  <si>
    <t>Program Incremental Revenue over Threshold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</si>
  <si>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</si>
  <si>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</si>
  <si>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</si>
  <si>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</si>
  <si>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</si>
  <si>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</si>
  <si>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</si>
  <si>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</si>
  <si>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</si>
  <si>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</si>
  <si>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</si>
  <si>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</si>
  <si>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</si>
  <si>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</si>
  <si>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</si>
  <si>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</si>
  <si>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Program Incremental Rev less Rebate</t>
  </si>
  <si>
    <t>Calculation</t>
  </si>
  <si>
    <t>Attributable Cost from Program Incremental Growth</t>
  </si>
  <si>
    <t>Net Contribution</t>
  </si>
  <si>
    <t>Net Contribution (Incr Rev less Rebate and Att Cost)</t>
  </si>
  <si>
    <t>Regular</t>
  </si>
  <si>
    <t>Volume</t>
  </si>
  <si>
    <t>Total</t>
  </si>
  <si>
    <t>% of Total</t>
  </si>
  <si>
    <t>Product Summary</t>
  </si>
  <si>
    <t>Cost Coverage Table</t>
  </si>
  <si>
    <t>Rev/pc</t>
  </si>
  <si>
    <t>Cost/pc</t>
  </si>
  <si>
    <t>Cost Coverage before Discount</t>
  </si>
  <si>
    <t>Discount/pc</t>
  </si>
  <si>
    <t>Cost Coverage after Discount</t>
  </si>
  <si>
    <t>Cost Coverage</t>
  </si>
  <si>
    <t>Rebate %</t>
  </si>
  <si>
    <t>Q1</t>
  </si>
  <si>
    <t>Q2</t>
  </si>
  <si>
    <t>Q3</t>
  </si>
  <si>
    <t>Q4</t>
  </si>
  <si>
    <t>Flats</t>
  </si>
  <si>
    <t>2024 Incentive Program Requirements</t>
  </si>
  <si>
    <t>Revenue per Piece</t>
  </si>
  <si>
    <t>Attributable Cost per Piece</t>
  </si>
  <si>
    <t>Total Projected CY2024 Volume</t>
  </si>
  <si>
    <t>Projected CY2024 Volume</t>
  </si>
  <si>
    <t>FY23 YTD volume growth over SPLY</t>
  </si>
  <si>
    <t>FY22Q2 - FY23Q1 RPW</t>
  </si>
  <si>
    <t>CY2022 Volume</t>
  </si>
  <si>
    <t>CY2022 Revenue</t>
  </si>
  <si>
    <t>CY2022 Rev/Pc</t>
  </si>
  <si>
    <t>&gt;=1,000,000</t>
  </si>
  <si>
    <t>CY2023 Volume</t>
  </si>
  <si>
    <t>CY2024 Volume</t>
  </si>
  <si>
    <t>Volume Requirement</t>
  </si>
  <si>
    <t>Program Rules</t>
  </si>
  <si>
    <t>CPI 2023</t>
  </si>
  <si>
    <t>CPI 2024</t>
  </si>
  <si>
    <t>Inflation Rate</t>
  </si>
  <si>
    <t>CY22 Rev/Pc</t>
  </si>
  <si>
    <t>CY24 Rev/Pc (Forecasted)</t>
  </si>
  <si>
    <t>Based on qualified customers who applied and participated in the program</t>
  </si>
  <si>
    <t>Projected CY2024 Revenue</t>
  </si>
  <si>
    <t>CY24 Cost/Pc (Forecasted)</t>
  </si>
  <si>
    <t>CY2024 Incentive Requirements</t>
  </si>
  <si>
    <t>Based on analyzing number of Mail Owners who would meet 1,000,000 minimum piece count</t>
  </si>
  <si>
    <t>% of First Class Mail Eligible for Program</t>
  </si>
  <si>
    <t>First Class Mail Incentive 2009</t>
  </si>
  <si>
    <t>Presort Letters</t>
  </si>
  <si>
    <t>Presort Cards</t>
  </si>
  <si>
    <t>First Class Mail Volume Growth</t>
  </si>
  <si>
    <t>Cost/pc: Regular - FY22 Unit Cost Detail Data Collection; Non-profit -Summary of FY22 Costs, Revenue and Contribution for Nonprofit Standard and Nonprofit ECR Mai</t>
  </si>
  <si>
    <t>Rev/pc - FY22Q2-FY23 RPW Quarterly Extract Files</t>
  </si>
  <si>
    <t>Volume Growth % over Threshold</t>
  </si>
  <si>
    <t>FY23Q1</t>
  </si>
  <si>
    <t>FY23Q2</t>
  </si>
  <si>
    <t>FY23Q3</t>
  </si>
  <si>
    <t>FY23Q4</t>
  </si>
  <si>
    <t>CY2024 First-Class Mail Incentive Program</t>
  </si>
  <si>
    <t>Rebate/Credit</t>
  </si>
  <si>
    <t>Total Program Financials</t>
  </si>
  <si>
    <t>Base Year Volume FY23</t>
  </si>
  <si>
    <t>Quarterly Volume and Revenue by Product</t>
  </si>
  <si>
    <t>Total eligible FCM products</t>
  </si>
  <si>
    <t>Minimum mail volume to achieve credit/rebate</t>
  </si>
  <si>
    <t>Based on Analysis of CY23 vs CY22 Mail Owner Analysis and benchmarked against prior incentive programs</t>
  </si>
  <si>
    <t>FY22Q4</t>
  </si>
  <si>
    <t>FY22Q3</t>
  </si>
  <si>
    <t>FY22Q1</t>
  </si>
  <si>
    <t>FY22Q2</t>
  </si>
  <si>
    <t>Source: FY23 Q2 YTD RPW</t>
  </si>
  <si>
    <t>CY22 Total</t>
  </si>
  <si>
    <t>CY23 Total</t>
  </si>
  <si>
    <t>CY24 Total</t>
  </si>
  <si>
    <t>FY23 Q2 YTD RPW</t>
  </si>
  <si>
    <r>
      <t xml:space="preserve">FY23 Eligible First-Class Mail Volume </t>
    </r>
    <r>
      <rPr>
        <sz val="8"/>
        <rFont val="Calibri"/>
        <family val="2"/>
      </rPr>
      <t>∆</t>
    </r>
    <r>
      <rPr>
        <sz val="8"/>
        <rFont val="Arial"/>
        <family val="2"/>
      </rPr>
      <t xml:space="preserve"> over SPLY</t>
    </r>
  </si>
  <si>
    <t>CY2022 First-Class Presort Letters, Cards and Flats Volume</t>
  </si>
  <si>
    <t>CY2022 First Class Presort Letters, Cards and Flats Mail</t>
  </si>
  <si>
    <t>Presort Flats</t>
  </si>
  <si>
    <t>First Class Presort Letters, Cards and Flats</t>
  </si>
  <si>
    <t>FY23 Q2 YTD over SPLY</t>
  </si>
  <si>
    <t>FY22 CRA; Docket ACR 2022 Public Cost and Revenue Analysis (PCRA) Report; Public_FY22CRAReport</t>
  </si>
  <si>
    <t>FY22 Cost/Pc</t>
  </si>
  <si>
    <t>RPW Quarterly Extract Files FY22Q2 - FY23Q1</t>
  </si>
  <si>
    <t>Customer Data Mart (CDM)</t>
  </si>
  <si>
    <t>% of Eligible First-Class Mail volume that will register for the First-Class Mail Growth Incentive, will meet all incentive requirements, and earn a credit during the incentive period.</t>
  </si>
  <si>
    <t>Estimated Program Financials - Ranges</t>
  </si>
  <si>
    <t>Estimated Program Financials (in millions)</t>
  </si>
  <si>
    <t>Mid-Range 
Financial Estimates</t>
  </si>
  <si>
    <t>Incremental Volume</t>
  </si>
  <si>
    <t>Rebates</t>
  </si>
  <si>
    <t>Incremental Contribution</t>
  </si>
  <si>
    <t>Conversion ----&gt;</t>
  </si>
  <si>
    <t>High 
(125% of Mid-range)</t>
  </si>
  <si>
    <t>International Monetary Fund CPI projection for United States, April 2023</t>
  </si>
  <si>
    <t>Mailers must exceed *total baseline* volume in order to receive a rebate</t>
  </si>
  <si>
    <t>% Volume that participates and exceeds threshold</t>
  </si>
  <si>
    <t>Participant Grower Base Volume %</t>
  </si>
  <si>
    <t>Low 
(75% of Mid-range)</t>
  </si>
  <si>
    <t>FY24Q1</t>
  </si>
  <si>
    <t>FY24Q2</t>
  </si>
  <si>
    <t>FY24Q3</t>
  </si>
  <si>
    <t>FY24Q4</t>
  </si>
  <si>
    <t>FY25Q1</t>
  </si>
  <si>
    <t>Source: FCM Billing Determinants,"RPW Totals". ACR Versions when Available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</si>
</sst>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"/>
    <numFmt numFmtId="167" formatCode="0.0000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0.000%"/>
    <numFmt numFmtId="171" formatCode="#,##0.00000"/>
    <numFmt numFmtId="172" formatCode="0.0000000000000000%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i/>
      <sz val="6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7"/>
      <name val="Arial"/>
      <family val="2"/>
    </font>
    <font>
      <i/>
      <sz val="10"/>
      <color indexed="23"/>
      <name val="Calibri"/>
      <family val="2"/>
    </font>
    <font>
      <sz val="10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24"/>
      <name val="Arial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16"/>
      <color indexed="8"/>
      <name val="Calibri"/>
      <family val="2"/>
    </font>
    <font>
      <b/>
      <sz val="10"/>
      <color indexed="12"/>
      <name val="Courier New"/>
      <family val="3"/>
    </font>
    <font>
      <sz val="8"/>
      <color indexed="10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30"/>
      <name val="Arial"/>
      <family val="2"/>
    </font>
    <font>
      <sz val="8"/>
      <color indexed="62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theme="4"/>
      <name val="Arial"/>
      <family val="2"/>
    </font>
    <font>
      <sz val="8"/>
      <color rgb="FF0000FF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>
      <alignment horizontal="right"/>
      <protection/>
    </xf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165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4" fontId="32" fillId="16" borderId="3" applyNumberFormat="0">
      <alignment/>
      <protection/>
    </xf>
    <xf numFmtId="165" fontId="32" fillId="16" borderId="3" applyNumberFormat="0">
      <alignment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>
      <alignment horizontal="right" vertical="center"/>
      <protection locked="0"/>
    </xf>
    <xf numFmtId="0" fontId="19" fillId="7" borderId="1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7" fillId="5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6" fillId="4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6" fillId="4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7" fillId="5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20" fillId="0" borderId="8" applyNumberFormat="0" applyFill="0" applyAlignment="0" applyProtection="0"/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15" borderId="3" applyNumberFormat="0">
      <alignment/>
      <protection/>
    </xf>
    <xf numFmtId="37" fontId="38" fillId="5" borderId="3" applyNumberFormat="0">
      <alignment/>
      <protection/>
    </xf>
    <xf numFmtId="37" fontId="38" fillId="1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15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28" fillId="16" borderId="3" applyNumberFormat="0">
      <alignment/>
      <protection/>
    </xf>
    <xf numFmtId="37" fontId="38" fillId="15" borderId="3" applyNumberFormat="0">
      <alignment/>
      <protection/>
    </xf>
    <xf numFmtId="37" fontId="38" fillId="15" borderId="3" applyNumberFormat="0">
      <alignment/>
      <protection/>
    </xf>
    <xf numFmtId="37" fontId="38" fillId="15" borderId="3" applyNumberFormat="0">
      <alignment/>
      <protection/>
    </xf>
    <xf numFmtId="37" fontId="38" fillId="15" borderId="3" applyNumberFormat="0">
      <alignment/>
      <protection/>
    </xf>
    <xf numFmtId="37" fontId="38" fillId="15" borderId="3" applyNumberFormat="0">
      <alignment/>
      <protection/>
    </xf>
    <xf numFmtId="37" fontId="3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2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8" fillId="5" borderId="3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18" borderId="9" applyNumberFormat="0">
      <alignment/>
      <protection/>
    </xf>
    <xf numFmtId="37" fontId="39" fillId="4" borderId="9" applyNumberFormat="0">
      <alignment/>
      <protection/>
    </xf>
    <xf numFmtId="37" fontId="39" fillId="18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18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39" fillId="18" borderId="9" applyNumberFormat="0">
      <alignment/>
      <protection/>
    </xf>
    <xf numFmtId="37" fontId="39" fillId="18" borderId="9" applyNumberFormat="0">
      <alignment/>
      <protection/>
    </xf>
    <xf numFmtId="37" fontId="39" fillId="18" borderId="9" applyNumberFormat="0">
      <alignment/>
      <protection/>
    </xf>
    <xf numFmtId="37" fontId="39" fillId="18" borderId="9" applyNumberFormat="0">
      <alignment/>
      <protection/>
    </xf>
    <xf numFmtId="37" fontId="39" fillId="18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37" fontId="39" fillId="4" borderId="9" applyNumberFormat="0">
      <alignment/>
      <protection/>
    </xf>
    <xf numFmtId="0" fontId="21" fillId="7" borderId="0" applyNumberFormat="0" applyBorder="0" applyAlignment="0" applyProtection="0"/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28" fillId="0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0" applyNumberFormat="0" applyFont="0" applyAlignment="0" applyProtection="0"/>
    <xf numFmtId="0" fontId="32" fillId="4" borderId="10" applyNumberFormat="0" applyFont="0" applyAlignment="0" applyProtection="0"/>
    <xf numFmtId="0" fontId="32" fillId="4" borderId="10" applyNumberFormat="0" applyFont="0" applyAlignment="0" applyProtection="0"/>
    <xf numFmtId="0" fontId="32" fillId="4" borderId="10" applyNumberFormat="0" applyFont="0" applyAlignment="0" applyProtection="0"/>
    <xf numFmtId="0" fontId="32" fillId="4" borderId="10" applyNumberFormat="0" applyFont="0" applyAlignment="0" applyProtection="0"/>
    <xf numFmtId="0" fontId="22" fillId="16" borderId="9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16" borderId="11" applyFont="0" applyFill="0" applyAlignment="0">
      <protection/>
    </xf>
    <xf numFmtId="0" fontId="4" fillId="0" borderId="0">
      <alignment horizontal="left" vertical="center" wrapText="1" indent="2"/>
      <protection locked="0"/>
    </xf>
    <xf numFmtId="0" fontId="1" fillId="0" borderId="0">
      <alignment horizontal="left" vertical="center" wrapText="1" indent="2"/>
      <protection locked="0"/>
    </xf>
    <xf numFmtId="0" fontId="23" fillId="0" borderId="0" applyNumberFormat="0" applyFill="0" applyBorder="0" applyAlignment="0" applyProtection="0"/>
    <xf numFmtId="0" fontId="43" fillId="7" borderId="12">
      <alignment horizontal="center"/>
      <protection/>
    </xf>
    <xf numFmtId="0" fontId="24" fillId="0" borderId="13" applyNumberFormat="0" applyFill="0" applyAlignment="0" applyProtection="0"/>
    <xf numFmtId="0" fontId="3" fillId="19" borderId="0" applyNumberFormat="0" applyFont="0" applyFill="0" applyBorder="0" applyAlignment="0">
      <protection/>
    </xf>
    <xf numFmtId="0" fontId="47" fillId="0" borderId="0" applyNumberFormat="0" applyFont="0" applyBorder="0" applyAlignment="0">
      <protection/>
    </xf>
    <xf numFmtId="0" fontId="2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1" fillId="16" borderId="14" xfId="0" applyFont="1" applyFill="1" applyBorder="1" applyAlignment="1">
      <alignment/>
    </xf>
    <xf numFmtId="42" fontId="1" fillId="16" borderId="14" xfId="0" applyNumberFormat="1" applyFont="1" applyFill="1" applyBorder="1" applyAlignment="1">
      <alignment/>
    </xf>
    <xf numFmtId="0" fontId="1" fillId="16" borderId="15" xfId="0" applyFont="1" applyFill="1" applyBorder="1" applyAlignment="1">
      <alignment/>
    </xf>
    <xf numFmtId="42" fontId="1" fillId="16" borderId="15" xfId="0" applyNumberFormat="1" applyFont="1" applyFill="1" applyBorder="1" applyAlignment="1">
      <alignment/>
    </xf>
    <xf numFmtId="0" fontId="1" fillId="16" borderId="0" xfId="0" applyFont="1" applyFill="1" applyBorder="1" applyAlignment="1">
      <alignment/>
    </xf>
    <xf numFmtId="3" fontId="1" fillId="16" borderId="15" xfId="0" applyNumberFormat="1" applyFont="1" applyFill="1" applyBorder="1" applyAlignment="1">
      <alignment/>
    </xf>
    <xf numFmtId="3" fontId="1" fillId="16" borderId="14" xfId="0" applyNumberFormat="1" applyFont="1" applyFill="1" applyBorder="1" applyAlignment="1">
      <alignment/>
    </xf>
    <xf numFmtId="0" fontId="1" fillId="16" borderId="14" xfId="0" applyFont="1" applyFill="1" applyBorder="1" applyAlignment="1">
      <alignment horizontal="right"/>
    </xf>
    <xf numFmtId="0" fontId="1" fillId="16" borderId="16" xfId="0" applyFont="1" applyFill="1" applyBorder="1" applyAlignment="1">
      <alignment horizontal="right"/>
    </xf>
    <xf numFmtId="8" fontId="1" fillId="16" borderId="0" xfId="0" applyNumberFormat="1" applyFont="1" applyFill="1" applyAlignment="1">
      <alignment/>
    </xf>
    <xf numFmtId="0" fontId="25" fillId="16" borderId="0" xfId="0" applyFont="1" applyFill="1" applyAlignment="1">
      <alignment/>
    </xf>
    <xf numFmtId="0" fontId="1" fillId="16" borderId="0" xfId="0" applyFont="1" applyFill="1" applyAlignment="1">
      <alignment/>
    </xf>
    <xf numFmtId="3" fontId="27" fillId="16" borderId="15" xfId="0" applyNumberFormat="1" applyFont="1" applyFill="1" applyBorder="1" applyAlignment="1">
      <alignment/>
    </xf>
    <xf numFmtId="3" fontId="27" fillId="16" borderId="14" xfId="0" applyNumberFormat="1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25" fillId="16" borderId="0" xfId="0" applyFont="1" applyFill="1" applyAlignment="1">
      <alignment vertical="top"/>
    </xf>
    <xf numFmtId="0" fontId="1" fillId="16" borderId="14" xfId="0" applyFont="1" applyFill="1" applyBorder="1" applyAlignment="1">
      <alignment vertical="top"/>
    </xf>
    <xf numFmtId="0" fontId="5" fillId="16" borderId="14" xfId="0" applyFont="1" applyFill="1" applyBorder="1" applyAlignment="1">
      <alignment/>
    </xf>
    <xf numFmtId="0" fontId="1" fillId="16" borderId="14" xfId="0" applyFont="1" applyFill="1" applyBorder="1" applyAlignment="1">
      <alignment horizontal="left" indent="1"/>
    </xf>
    <xf numFmtId="0" fontId="1" fillId="16" borderId="14" xfId="0" applyFont="1" applyFill="1" applyBorder="1" applyAlignment="1">
      <alignment horizontal="left" indent="2"/>
    </xf>
    <xf numFmtId="9" fontId="26" fillId="16" borderId="14" xfId="0" applyNumberFormat="1" applyFont="1" applyFill="1" applyBorder="1" applyAlignment="1">
      <alignment/>
    </xf>
    <xf numFmtId="9" fontId="1" fillId="16" borderId="15" xfId="0" applyNumberFormat="1" applyFont="1" applyFill="1" applyBorder="1" applyAlignment="1">
      <alignment/>
    </xf>
    <xf numFmtId="0" fontId="1" fillId="16" borderId="0" xfId="0" applyFont="1" applyFill="1" applyBorder="1" applyAlignment="1">
      <alignment horizontal="right"/>
    </xf>
    <xf numFmtId="9" fontId="1" fillId="16" borderId="0" xfId="0" applyNumberFormat="1" applyFont="1" applyFill="1" applyBorder="1" applyAlignment="1">
      <alignment/>
    </xf>
    <xf numFmtId="0" fontId="1" fillId="16" borderId="18" xfId="0" applyFont="1" applyFill="1" applyBorder="1" applyAlignment="1">
      <alignment horizontal="right"/>
    </xf>
    <xf numFmtId="3" fontId="27" fillId="16" borderId="19" xfId="0" applyNumberFormat="1" applyFont="1" applyFill="1" applyBorder="1" applyAlignment="1">
      <alignment/>
    </xf>
    <xf numFmtId="3" fontId="27" fillId="16" borderId="20" xfId="0" applyNumberFormat="1" applyFont="1" applyFill="1" applyBorder="1" applyAlignment="1">
      <alignment/>
    </xf>
    <xf numFmtId="3" fontId="1" fillId="16" borderId="20" xfId="0" applyNumberFormat="1" applyFont="1" applyFill="1" applyBorder="1" applyAlignment="1">
      <alignment/>
    </xf>
    <xf numFmtId="0" fontId="5" fillId="16" borderId="16" xfId="0" applyFont="1" applyFill="1" applyBorder="1" applyAlignment="1">
      <alignment/>
    </xf>
    <xf numFmtId="9" fontId="1" fillId="16" borderId="14" xfId="0" applyNumberFormat="1" applyFont="1" applyFill="1" applyBorder="1" applyAlignment="1">
      <alignment horizontal="right"/>
    </xf>
    <xf numFmtId="2" fontId="1" fillId="16" borderId="0" xfId="0" applyNumberFormat="1" applyFont="1" applyFill="1" applyAlignment="1">
      <alignment horizontal="left" indent="1"/>
    </xf>
    <xf numFmtId="0" fontId="45" fillId="16" borderId="0" xfId="0" applyFont="1" applyFill="1" applyAlignment="1">
      <alignment/>
    </xf>
    <xf numFmtId="9" fontId="1" fillId="16" borderId="0" xfId="0" applyNumberFormat="1" applyFont="1" applyFill="1" applyAlignment="1">
      <alignment/>
    </xf>
    <xf numFmtId="14" fontId="1" fillId="16" borderId="16" xfId="0" applyNumberFormat="1" applyFont="1" applyFill="1" applyBorder="1" applyAlignment="1">
      <alignment horizontal="right" wrapText="1"/>
    </xf>
    <xf numFmtId="0" fontId="1" fillId="16" borderId="16" xfId="0" applyFont="1" applyFill="1" applyBorder="1" applyAlignment="1">
      <alignment horizontal="right" wrapText="1"/>
    </xf>
    <xf numFmtId="0" fontId="1" fillId="7" borderId="0" xfId="0" applyFont="1" applyFill="1" applyAlignment="1">
      <alignment/>
    </xf>
    <xf numFmtId="42" fontId="1" fillId="7" borderId="15" xfId="0" applyNumberFormat="1" applyFont="1" applyFill="1" applyBorder="1" applyAlignment="1">
      <alignment/>
    </xf>
    <xf numFmtId="42" fontId="1" fillId="7" borderId="14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16" borderId="0" xfId="0" applyNumberFormat="1" applyFont="1" applyFill="1" applyAlignment="1">
      <alignment/>
    </xf>
    <xf numFmtId="164" fontId="1" fillId="16" borderId="0" xfId="0" applyNumberFormat="1" applyFont="1" applyFill="1" applyAlignment="1">
      <alignment/>
    </xf>
    <xf numFmtId="2" fontId="4" fillId="16" borderId="0" xfId="0" applyNumberFormat="1" applyFont="1" applyFill="1" applyAlignment="1">
      <alignment horizontal="left" indent="1"/>
    </xf>
    <xf numFmtId="0" fontId="1" fillId="16" borderId="0" xfId="0" applyFont="1" applyFill="1" applyAlignment="1">
      <alignment horizontal="left" indent="1"/>
    </xf>
    <xf numFmtId="0" fontId="1" fillId="16" borderId="21" xfId="0" applyFont="1" applyFill="1" applyBorder="1" applyAlignment="1">
      <alignment horizontal="centerContinuous"/>
    </xf>
    <xf numFmtId="0" fontId="1" fillId="16" borderId="22" xfId="0" applyFont="1" applyFill="1" applyBorder="1" applyAlignment="1">
      <alignment horizontal="centerContinuous"/>
    </xf>
    <xf numFmtId="0" fontId="6" fillId="16" borderId="23" xfId="0" applyFont="1" applyFill="1" applyBorder="1" applyAlignment="1">
      <alignment horizontal="centerContinuous"/>
    </xf>
    <xf numFmtId="0" fontId="1" fillId="16" borderId="24" xfId="0" applyFont="1" applyFill="1" applyBorder="1" applyAlignment="1">
      <alignment/>
    </xf>
    <xf numFmtId="0" fontId="1" fillId="16" borderId="15" xfId="0" applyFont="1" applyFill="1" applyBorder="1" applyAlignment="1">
      <alignment horizontal="right"/>
    </xf>
    <xf numFmtId="0" fontId="1" fillId="16" borderId="25" xfId="0" applyFont="1" applyFill="1" applyBorder="1" applyAlignment="1">
      <alignment horizontal="right"/>
    </xf>
    <xf numFmtId="0" fontId="46" fillId="16" borderId="0" xfId="0" applyFont="1" applyFill="1" applyBorder="1" applyAlignment="1">
      <alignment/>
    </xf>
    <xf numFmtId="0" fontId="1" fillId="7" borderId="0" xfId="0" applyFont="1" applyFill="1" applyAlignment="1">
      <alignment horizontal="left" indent="1"/>
    </xf>
    <xf numFmtId="3" fontId="27" fillId="16" borderId="25" xfId="0" applyNumberFormat="1" applyFont="1" applyFill="1" applyBorder="1" applyAlignment="1">
      <alignment/>
    </xf>
    <xf numFmtId="0" fontId="1" fillId="16" borderId="0" xfId="0" applyFont="1" applyFill="1" applyAlignment="1">
      <alignment horizontal="right"/>
    </xf>
    <xf numFmtId="42" fontId="1" fillId="16" borderId="0" xfId="0" applyNumberFormat="1" applyFont="1" applyFill="1" applyAlignment="1">
      <alignment/>
    </xf>
    <xf numFmtId="0" fontId="1" fillId="19" borderId="26" xfId="0" applyFont="1" applyFill="1" applyBorder="1" applyAlignment="1">
      <alignment horizontal="right"/>
    </xf>
    <xf numFmtId="0" fontId="1" fillId="19" borderId="15" xfId="0" applyFont="1" applyFill="1" applyBorder="1" applyAlignment="1" quotePrefix="1">
      <alignment horizontal="right"/>
    </xf>
    <xf numFmtId="0" fontId="1" fillId="19" borderId="15" xfId="0" applyFont="1" applyFill="1" applyBorder="1" applyAlignment="1">
      <alignment horizontal="right"/>
    </xf>
    <xf numFmtId="3" fontId="1" fillId="19" borderId="15" xfId="0" applyNumberFormat="1" applyFont="1" applyFill="1" applyBorder="1" applyAlignment="1" quotePrefix="1">
      <alignment horizontal="right"/>
    </xf>
    <xf numFmtId="44" fontId="1" fillId="19" borderId="15" xfId="0" applyNumberFormat="1" applyFont="1" applyFill="1" applyBorder="1" applyAlignment="1">
      <alignment horizontal="right"/>
    </xf>
    <xf numFmtId="42" fontId="1" fillId="19" borderId="15" xfId="0" applyNumberFormat="1" applyFont="1" applyFill="1" applyBorder="1" applyAlignment="1" quotePrefix="1">
      <alignment horizontal="right"/>
    </xf>
    <xf numFmtId="0" fontId="5" fillId="16" borderId="0" xfId="0" applyFont="1" applyFill="1" applyBorder="1" applyAlignment="1">
      <alignment/>
    </xf>
    <xf numFmtId="170" fontId="44" fillId="0" borderId="0" xfId="0" applyNumberFormat="1" applyFont="1" applyFill="1" applyAlignment="1">
      <alignment/>
    </xf>
    <xf numFmtId="0" fontId="6" fillId="16" borderId="26" xfId="0" applyFont="1" applyFill="1" applyBorder="1" applyAlignment="1">
      <alignment horizontal="right"/>
    </xf>
    <xf numFmtId="0" fontId="6" fillId="16" borderId="22" xfId="0" applyFont="1" applyFill="1" applyBorder="1" applyAlignment="1">
      <alignment horizontal="right"/>
    </xf>
    <xf numFmtId="0" fontId="1" fillId="16" borderId="0" xfId="0" applyFont="1" applyFill="1" applyAlignment="1">
      <alignment vertical="top"/>
    </xf>
    <xf numFmtId="0" fontId="6" fillId="16" borderId="21" xfId="0" applyFont="1" applyFill="1" applyBorder="1" applyAlignment="1">
      <alignment horizontal="centerContinuous"/>
    </xf>
    <xf numFmtId="0" fontId="6" fillId="16" borderId="22" xfId="0" applyFont="1" applyFill="1" applyBorder="1" applyAlignment="1">
      <alignment horizontal="centerContinuous"/>
    </xf>
    <xf numFmtId="3" fontId="1" fillId="16" borderId="14" xfId="0" applyNumberFormat="1" applyFont="1" applyFill="1" applyBorder="1" applyAlignment="1">
      <alignment horizontal="right"/>
    </xf>
    <xf numFmtId="0" fontId="1" fillId="20" borderId="0" xfId="0" applyFont="1" applyFill="1" applyBorder="1" applyAlignment="1">
      <alignment/>
    </xf>
    <xf numFmtId="0" fontId="1" fillId="16" borderId="17" xfId="0" applyFont="1" applyFill="1" applyBorder="1" applyAlignment="1">
      <alignment horizontal="right"/>
    </xf>
    <xf numFmtId="3" fontId="51" fillId="16" borderId="15" xfId="0" applyNumberFormat="1" applyFont="1" applyFill="1" applyBorder="1" applyAlignment="1">
      <alignment horizontal="right"/>
    </xf>
    <xf numFmtId="3" fontId="51" fillId="16" borderId="14" xfId="0" applyNumberFormat="1" applyFont="1" applyFill="1" applyBorder="1" applyAlignment="1">
      <alignment horizontal="right"/>
    </xf>
    <xf numFmtId="6" fontId="51" fillId="16" borderId="15" xfId="0" applyNumberFormat="1" applyFont="1" applyFill="1" applyBorder="1" applyAlignment="1">
      <alignment horizontal="right"/>
    </xf>
    <xf numFmtId="6" fontId="51" fillId="16" borderId="14" xfId="0" applyNumberFormat="1" applyFont="1" applyFill="1" applyBorder="1" applyAlignment="1">
      <alignment horizontal="right"/>
    </xf>
    <xf numFmtId="6" fontId="1" fillId="16" borderId="14" xfId="0" applyNumberFormat="1" applyFont="1" applyFill="1" applyBorder="1" applyAlignment="1">
      <alignment horizontal="right"/>
    </xf>
    <xf numFmtId="8" fontId="26" fillId="16" borderId="14" xfId="0" applyNumberFormat="1" applyFont="1" applyFill="1" applyBorder="1" applyAlignment="1">
      <alignment/>
    </xf>
    <xf numFmtId="3" fontId="52" fillId="16" borderId="15" xfId="0" applyNumberFormat="1" applyFont="1" applyFill="1" applyBorder="1" applyAlignment="1">
      <alignment horizontal="right"/>
    </xf>
    <xf numFmtId="3" fontId="52" fillId="16" borderId="14" xfId="0" applyNumberFormat="1" applyFont="1" applyFill="1" applyBorder="1" applyAlignment="1">
      <alignment horizontal="right"/>
    </xf>
    <xf numFmtId="0" fontId="6" fillId="16" borderId="0" xfId="0" applyFont="1" applyFill="1" applyBorder="1" applyAlignment="1">
      <alignment horizontal="right"/>
    </xf>
    <xf numFmtId="8" fontId="52" fillId="16" borderId="14" xfId="0" applyNumberFormat="1" applyFont="1" applyFill="1" applyBorder="1" applyAlignment="1">
      <alignment/>
    </xf>
    <xf numFmtId="0" fontId="53" fillId="16" borderId="14" xfId="0" applyFont="1" applyFill="1" applyBorder="1" applyAlignment="1">
      <alignment/>
    </xf>
    <xf numFmtId="9" fontId="26" fillId="20" borderId="14" xfId="0" applyNumberFormat="1" applyFont="1" applyFill="1" applyBorder="1" applyAlignment="1">
      <alignment/>
    </xf>
    <xf numFmtId="44" fontId="1" fillId="16" borderId="0" xfId="0" applyNumberFormat="1" applyFont="1" applyFill="1" applyAlignment="1">
      <alignment/>
    </xf>
    <xf numFmtId="9" fontId="1" fillId="19" borderId="15" xfId="0" applyNumberFormat="1" applyFont="1" applyFill="1" applyBorder="1" applyAlignment="1" quotePrefix="1">
      <alignment horizontal="right"/>
    </xf>
    <xf numFmtId="0" fontId="54" fillId="16" borderId="14" xfId="0" applyFont="1" applyFill="1" applyBorder="1" applyAlignment="1">
      <alignment/>
    </xf>
    <xf numFmtId="0" fontId="1" fillId="16" borderId="0" xfId="0" applyFont="1" applyFill="1" applyBorder="1" applyAlignment="1">
      <alignment/>
    </xf>
    <xf numFmtId="0" fontId="1" fillId="16" borderId="25" xfId="0" applyFont="1" applyFill="1" applyBorder="1" applyAlignment="1">
      <alignment/>
    </xf>
    <xf numFmtId="168" fontId="1" fillId="16" borderId="14" xfId="0" applyNumberFormat="1" applyFont="1" applyFill="1" applyBorder="1" applyAlignment="1">
      <alignment/>
    </xf>
    <xf numFmtId="9" fontId="26" fillId="16" borderId="14" xfId="0" applyNumberFormat="1" applyFont="1" applyFill="1" applyBorder="1" applyAlignment="1">
      <alignment horizontal="right"/>
    </xf>
    <xf numFmtId="9" fontId="55" fillId="20" borderId="14" xfId="0" applyNumberFormat="1" applyFont="1" applyFill="1" applyBorder="1" applyAlignment="1">
      <alignment/>
    </xf>
    <xf numFmtId="8" fontId="55" fillId="16" borderId="14" xfId="0" applyNumberFormat="1" applyFont="1" applyFill="1" applyBorder="1" applyAlignment="1">
      <alignment/>
    </xf>
    <xf numFmtId="0" fontId="55" fillId="16" borderId="14" xfId="0" applyFont="1" applyFill="1" applyBorder="1" applyAlignment="1">
      <alignment/>
    </xf>
    <xf numFmtId="9" fontId="55" fillId="16" borderId="14" xfId="0" applyNumberFormat="1" applyFont="1" applyFill="1" applyBorder="1" applyAlignment="1">
      <alignment/>
    </xf>
    <xf numFmtId="8" fontId="53" fillId="16" borderId="14" xfId="0" applyNumberFormat="1" applyFont="1" applyFill="1" applyBorder="1" applyAlignment="1">
      <alignment/>
    </xf>
    <xf numFmtId="164" fontId="55" fillId="16" borderId="15" xfId="0" applyNumberFormat="1" applyFont="1" applyFill="1" applyBorder="1" applyAlignment="1">
      <alignment/>
    </xf>
    <xf numFmtId="0" fontId="55" fillId="16" borderId="0" xfId="0" applyFont="1" applyFill="1" applyAlignment="1">
      <alignment/>
    </xf>
    <xf numFmtId="3" fontId="1" fillId="16" borderId="0" xfId="0" applyNumberFormat="1" applyFont="1" applyFill="1" applyBorder="1" applyAlignment="1">
      <alignment/>
    </xf>
    <xf numFmtId="6" fontId="52" fillId="16" borderId="15" xfId="0" applyNumberFormat="1" applyFont="1" applyFill="1" applyBorder="1" applyAlignment="1">
      <alignment horizontal="right"/>
    </xf>
    <xf numFmtId="6" fontId="52" fillId="16" borderId="14" xfId="0" applyNumberFormat="1" applyFont="1" applyFill="1" applyBorder="1" applyAlignment="1">
      <alignment horizontal="right"/>
    </xf>
    <xf numFmtId="8" fontId="52" fillId="16" borderId="15" xfId="0" applyNumberFormat="1" applyFont="1" applyFill="1" applyBorder="1" applyAlignment="1">
      <alignment horizontal="right"/>
    </xf>
    <xf numFmtId="8" fontId="51" fillId="16" borderId="25" xfId="0" applyNumberFormat="1" applyFont="1" applyFill="1" applyBorder="1" applyAlignment="1">
      <alignment horizontal="right"/>
    </xf>
    <xf numFmtId="3" fontId="51" fillId="16" borderId="19" xfId="0" applyNumberFormat="1" applyFont="1" applyFill="1" applyBorder="1" applyAlignment="1">
      <alignment horizontal="right"/>
    </xf>
    <xf numFmtId="0" fontId="1" fillId="16" borderId="26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8" fontId="1" fillId="16" borderId="15" xfId="0" applyNumberFormat="1" applyFont="1" applyFill="1" applyBorder="1" applyAlignment="1">
      <alignment/>
    </xf>
    <xf numFmtId="8" fontId="4" fillId="16" borderId="0" xfId="0" applyNumberFormat="1" applyFont="1" applyFill="1" applyAlignment="1">
      <alignment/>
    </xf>
    <xf numFmtId="0" fontId="6" fillId="16" borderId="18" xfId="0" applyFont="1" applyFill="1" applyBorder="1" applyAlignment="1">
      <alignment horizontal="right"/>
    </xf>
    <xf numFmtId="0" fontId="6" fillId="16" borderId="16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6" fillId="16" borderId="24" xfId="0" applyFont="1" applyFill="1" applyBorder="1" applyAlignment="1">
      <alignment horizontal="right"/>
    </xf>
    <xf numFmtId="0" fontId="6" fillId="16" borderId="0" xfId="0" applyFont="1" applyFill="1" applyAlignment="1">
      <alignment horizontal="right"/>
    </xf>
    <xf numFmtId="6" fontId="1" fillId="16" borderId="0" xfId="0" applyNumberFormat="1" applyFont="1" applyFill="1" applyBorder="1" applyAlignment="1">
      <alignment horizontal="right"/>
    </xf>
    <xf numFmtId="0" fontId="1" fillId="16" borderId="0" xfId="0" applyFont="1" applyFill="1" applyBorder="1" applyAlignment="1">
      <alignment horizontal="left"/>
    </xf>
    <xf numFmtId="9" fontId="1" fillId="20" borderId="14" xfId="0" applyNumberFormat="1" applyFont="1" applyFill="1" applyBorder="1" applyAlignment="1">
      <alignment/>
    </xf>
    <xf numFmtId="0" fontId="25" fillId="16" borderId="0" xfId="487" applyFont="1" applyFill="1">
      <alignment/>
      <protection/>
    </xf>
    <xf numFmtId="0" fontId="2" fillId="16" borderId="0" xfId="487" applyFont="1" applyFill="1">
      <alignment/>
      <protection/>
    </xf>
    <xf numFmtId="0" fontId="1" fillId="16" borderId="0" xfId="487" applyFont="1" applyFill="1">
      <alignment/>
      <protection/>
    </xf>
    <xf numFmtId="0" fontId="3" fillId="16" borderId="0" xfId="487" applyFont="1" applyFill="1">
      <alignment/>
      <protection/>
    </xf>
    <xf numFmtId="0" fontId="4" fillId="16" borderId="0" xfId="487" applyFont="1" applyFill="1">
      <alignment/>
      <protection/>
    </xf>
    <xf numFmtId="9" fontId="1" fillId="16" borderId="0" xfId="487" applyNumberFormat="1" applyFont="1" applyFill="1">
      <alignment/>
      <protection/>
    </xf>
    <xf numFmtId="0" fontId="6" fillId="16" borderId="0" xfId="487" applyFont="1" applyFill="1">
      <alignment/>
      <protection/>
    </xf>
    <xf numFmtId="0" fontId="6" fillId="16" borderId="23" xfId="487" applyFont="1" applyFill="1" applyBorder="1" applyAlignment="1">
      <alignment horizontal="centerContinuous"/>
      <protection/>
    </xf>
    <xf numFmtId="0" fontId="1" fillId="16" borderId="21" xfId="487" applyFont="1" applyFill="1" applyBorder="1" applyAlignment="1">
      <alignment horizontal="centerContinuous"/>
      <protection/>
    </xf>
    <xf numFmtId="0" fontId="1" fillId="16" borderId="22" xfId="487" applyFont="1" applyFill="1" applyBorder="1" applyAlignment="1">
      <alignment horizontal="centerContinuous"/>
      <protection/>
    </xf>
    <xf numFmtId="0" fontId="5" fillId="16" borderId="16" xfId="487" applyFont="1" applyFill="1" applyBorder="1">
      <alignment/>
      <protection/>
    </xf>
    <xf numFmtId="0" fontId="5" fillId="16" borderId="0" xfId="487" applyFont="1" applyFill="1">
      <alignment/>
      <protection/>
    </xf>
    <xf numFmtId="0" fontId="1" fillId="16" borderId="0" xfId="487" applyFont="1" applyFill="1" applyAlignment="1">
      <alignment horizontal="right"/>
      <protection/>
    </xf>
    <xf numFmtId="3" fontId="1" fillId="16" borderId="15" xfId="487" applyNumberFormat="1" applyFont="1" applyFill="1" applyBorder="1" applyAlignment="1">
      <alignment horizontal="right"/>
      <protection/>
    </xf>
    <xf numFmtId="42" fontId="1" fillId="16" borderId="15" xfId="487" applyNumberFormat="1" applyFont="1" applyFill="1" applyBorder="1" applyAlignment="1">
      <alignment horizontal="center"/>
      <protection/>
    </xf>
    <xf numFmtId="42" fontId="1" fillId="16" borderId="18" xfId="487" applyNumberFormat="1" applyFont="1" applyFill="1" applyBorder="1" applyAlignment="1">
      <alignment horizontal="center"/>
      <protection/>
    </xf>
    <xf numFmtId="3" fontId="1" fillId="16" borderId="0" xfId="487" applyNumberFormat="1" applyFont="1" applyFill="1">
      <alignment/>
      <protection/>
    </xf>
    <xf numFmtId="8" fontId="1" fillId="16" borderId="0" xfId="487" applyNumberFormat="1" applyFont="1" applyFill="1">
      <alignment/>
      <protection/>
    </xf>
    <xf numFmtId="0" fontId="6" fillId="16" borderId="22" xfId="0" applyFont="1" applyFill="1" applyBorder="1" applyAlignment="1">
      <alignment horizontal="center" wrapText="1"/>
    </xf>
    <xf numFmtId="3" fontId="1" fillId="16" borderId="0" xfId="487" applyNumberFormat="1" applyFont="1" applyFill="1" applyBorder="1" applyAlignment="1">
      <alignment horizontal="right"/>
      <protection/>
    </xf>
    <xf numFmtId="42" fontId="1" fillId="16" borderId="0" xfId="487" applyNumberFormat="1" applyFont="1" applyFill="1" applyBorder="1" applyAlignment="1">
      <alignment horizontal="center"/>
      <protection/>
    </xf>
    <xf numFmtId="6" fontId="51" fillId="16" borderId="0" xfId="0" applyNumberFormat="1" applyFont="1" applyFill="1" applyBorder="1" applyAlignment="1">
      <alignment horizontal="right"/>
    </xf>
    <xf numFmtId="8" fontId="52" fillId="16" borderId="0" xfId="0" applyNumberFormat="1" applyFont="1" applyFill="1" applyBorder="1" applyAlignment="1">
      <alignment horizontal="right"/>
    </xf>
    <xf numFmtId="9" fontId="52" fillId="20" borderId="0" xfId="0" applyNumberFormat="1" applyFont="1" applyFill="1" applyBorder="1" applyAlignment="1">
      <alignment horizontal="right"/>
    </xf>
    <xf numFmtId="9" fontId="52" fillId="20" borderId="17" xfId="0" applyNumberFormat="1" applyFont="1" applyFill="1" applyBorder="1" applyAlignment="1">
      <alignment horizontal="right"/>
    </xf>
    <xf numFmtId="0" fontId="1" fillId="16" borderId="17" xfId="0" applyFont="1" applyFill="1" applyBorder="1" applyAlignment="1">
      <alignment/>
    </xf>
    <xf numFmtId="3" fontId="53" fillId="20" borderId="14" xfId="0" applyNumberFormat="1" applyFont="1" applyFill="1" applyBorder="1" applyAlignment="1">
      <alignment/>
    </xf>
    <xf numFmtId="9" fontId="53" fillId="20" borderId="14" xfId="0" applyNumberFormat="1" applyFont="1" applyFill="1" applyBorder="1" applyAlignment="1">
      <alignment/>
    </xf>
  </cellXfs>
  <cellStyles count="5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19" xfId="54"/>
    <cellStyle name="Comma 2 2" xfId="55"/>
    <cellStyle name="Comma 2 20" xfId="56"/>
    <cellStyle name="Comma 2 21" xfId="57"/>
    <cellStyle name="Comma 2 22" xfId="58"/>
    <cellStyle name="Comma 2 3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2_Digital Lockbox V11 12.23.10" xfId="66"/>
    <cellStyle name="Comma 3" xfId="67"/>
    <cellStyle name="Comma 4" xfId="68"/>
    <cellStyle name="Comma 5" xfId="69"/>
    <cellStyle name="Comma 5 2" xfId="70"/>
    <cellStyle name="Comma 5 3" xfId="71"/>
    <cellStyle name="Copyright_xlr8r" xfId="72"/>
    <cellStyle name="Currency" xfId="73"/>
    <cellStyle name="Currency [0]" xfId="74"/>
    <cellStyle name="Currency 2" xfId="75"/>
    <cellStyle name="Currency 2 10" xfId="76"/>
    <cellStyle name="Currency 2 11" xfId="77"/>
    <cellStyle name="Currency 2 12" xfId="78"/>
    <cellStyle name="Currency 2 13" xfId="79"/>
    <cellStyle name="Currency 2 14" xfId="80"/>
    <cellStyle name="Currency 2 15" xfId="81"/>
    <cellStyle name="Currency 2 16" xfId="82"/>
    <cellStyle name="Currency 2 17" xfId="83"/>
    <cellStyle name="Currency 2 18" xfId="84"/>
    <cellStyle name="Currency 2 19" xfId="85"/>
    <cellStyle name="Currency 2 2" xfId="86"/>
    <cellStyle name="Currency 2 20" xfId="87"/>
    <cellStyle name="Currency 2 21" xfId="88"/>
    <cellStyle name="Currency 2 22" xfId="89"/>
    <cellStyle name="Currency 2 3" xfId="90"/>
    <cellStyle name="Currency 2 4" xfId="91"/>
    <cellStyle name="Currency 2 5" xfId="92"/>
    <cellStyle name="Currency 2 6" xfId="93"/>
    <cellStyle name="Currency 2 7" xfId="94"/>
    <cellStyle name="Currency 2 8" xfId="95"/>
    <cellStyle name="Currency 2 9" xfId="96"/>
    <cellStyle name="Currency 2_Digital Lockbox V11 12.23.10" xfId="97"/>
    <cellStyle name="Currency 3" xfId="98"/>
    <cellStyle name="Currency 3 2" xfId="99"/>
    <cellStyle name="Currency 3_Digital Lockbox V11 12.23.10" xfId="100"/>
    <cellStyle name="Currency 4" xfId="101"/>
    <cellStyle name="Data" xfId="102"/>
    <cellStyle name="Explanatory Text" xfId="103"/>
    <cellStyle name="Explanatory Text 10" xfId="104"/>
    <cellStyle name="Explanatory Text 11" xfId="105"/>
    <cellStyle name="Explanatory Text 12" xfId="106"/>
    <cellStyle name="Explanatory Text 13" xfId="107"/>
    <cellStyle name="Explanatory Text 14" xfId="108"/>
    <cellStyle name="Explanatory Text 15" xfId="109"/>
    <cellStyle name="Explanatory Text 16" xfId="110"/>
    <cellStyle name="Explanatory Text 17" xfId="111"/>
    <cellStyle name="Explanatory Text 18" xfId="112"/>
    <cellStyle name="Explanatory Text 19" xfId="113"/>
    <cellStyle name="Explanatory Text 2" xfId="114"/>
    <cellStyle name="Explanatory Text 2 2" xfId="115"/>
    <cellStyle name="Explanatory Text 2 3" xfId="116"/>
    <cellStyle name="Explanatory Text 20" xfId="117"/>
    <cellStyle name="Explanatory Text 21" xfId="118"/>
    <cellStyle name="Explanatory Text 22" xfId="119"/>
    <cellStyle name="Explanatory Text 3" xfId="120"/>
    <cellStyle name="Explanatory Text 3 2" xfId="121"/>
    <cellStyle name="Explanatory Text 3 3" xfId="122"/>
    <cellStyle name="Explanatory Text 4" xfId="123"/>
    <cellStyle name="Explanatory Text 4 2" xfId="124"/>
    <cellStyle name="Explanatory Text 4 3" xfId="125"/>
    <cellStyle name="Explanatory Text 5" xfId="126"/>
    <cellStyle name="Explanatory Text 5 2" xfId="127"/>
    <cellStyle name="Explanatory Text 5 3" xfId="128"/>
    <cellStyle name="Explanatory Text 6" xfId="129"/>
    <cellStyle name="Explanatory Text 7" xfId="130"/>
    <cellStyle name="Explanatory Text 8" xfId="131"/>
    <cellStyle name="Explanatory Text 9" xfId="132"/>
    <cellStyle name="Followed Hyperlink" xfId="133"/>
    <cellStyle name="Good" xfId="134"/>
    <cellStyle name="Grid" xfId="135"/>
    <cellStyle name="Grid 10" xfId="136"/>
    <cellStyle name="Grid 11" xfId="137"/>
    <cellStyle name="Grid 12" xfId="138"/>
    <cellStyle name="Grid 13" xfId="139"/>
    <cellStyle name="Grid 14" xfId="140"/>
    <cellStyle name="Grid 15" xfId="141"/>
    <cellStyle name="Grid 16" xfId="142"/>
    <cellStyle name="Grid 17" xfId="143"/>
    <cellStyle name="Grid 18" xfId="144"/>
    <cellStyle name="Grid 19" xfId="145"/>
    <cellStyle name="Grid 2" xfId="146"/>
    <cellStyle name="Grid 20" xfId="147"/>
    <cellStyle name="Grid 21" xfId="148"/>
    <cellStyle name="Grid 22" xfId="149"/>
    <cellStyle name="Grid 23" xfId="150"/>
    <cellStyle name="Grid 24" xfId="151"/>
    <cellStyle name="Grid 25" xfId="152"/>
    <cellStyle name="Grid 26" xfId="153"/>
    <cellStyle name="Grid 27" xfId="154"/>
    <cellStyle name="Grid 28" xfId="155"/>
    <cellStyle name="Grid 29" xfId="156"/>
    <cellStyle name="Grid 3" xfId="157"/>
    <cellStyle name="Grid 30" xfId="158"/>
    <cellStyle name="Grid 31" xfId="159"/>
    <cellStyle name="Grid 32" xfId="160"/>
    <cellStyle name="Grid 33" xfId="161"/>
    <cellStyle name="Grid 34" xfId="162"/>
    <cellStyle name="Grid 35" xfId="163"/>
    <cellStyle name="Grid 36" xfId="164"/>
    <cellStyle name="Grid 37" xfId="165"/>
    <cellStyle name="Grid 38" xfId="166"/>
    <cellStyle name="Grid 39" xfId="167"/>
    <cellStyle name="Grid 4" xfId="168"/>
    <cellStyle name="Grid 40" xfId="169"/>
    <cellStyle name="Grid 41" xfId="170"/>
    <cellStyle name="Grid 42" xfId="171"/>
    <cellStyle name="Grid 43" xfId="172"/>
    <cellStyle name="Grid 44" xfId="173"/>
    <cellStyle name="Grid 45" xfId="174"/>
    <cellStyle name="Grid 46" xfId="175"/>
    <cellStyle name="Grid 47" xfId="176"/>
    <cellStyle name="Grid 48" xfId="177"/>
    <cellStyle name="Grid 49" xfId="178"/>
    <cellStyle name="Grid 5" xfId="179"/>
    <cellStyle name="Grid 50" xfId="180"/>
    <cellStyle name="Grid 51" xfId="181"/>
    <cellStyle name="Grid 52" xfId="182"/>
    <cellStyle name="Grid 53" xfId="183"/>
    <cellStyle name="Grid 54" xfId="184"/>
    <cellStyle name="Grid 55" xfId="185"/>
    <cellStyle name="Grid 56" xfId="186"/>
    <cellStyle name="Grid 57" xfId="187"/>
    <cellStyle name="Grid 58" xfId="188"/>
    <cellStyle name="Grid 59" xfId="189"/>
    <cellStyle name="Grid 6" xfId="190"/>
    <cellStyle name="Grid 60" xfId="191"/>
    <cellStyle name="Grid 61" xfId="192"/>
    <cellStyle name="Grid 62" xfId="193"/>
    <cellStyle name="Grid 63" xfId="194"/>
    <cellStyle name="Grid 64" xfId="195"/>
    <cellStyle name="Grid 65" xfId="196"/>
    <cellStyle name="Grid 66" xfId="197"/>
    <cellStyle name="Grid 67" xfId="198"/>
    <cellStyle name="Grid 68" xfId="199"/>
    <cellStyle name="Grid 69" xfId="200"/>
    <cellStyle name="Grid 7" xfId="201"/>
    <cellStyle name="Grid 70" xfId="202"/>
    <cellStyle name="Grid 71" xfId="203"/>
    <cellStyle name="Grid 72" xfId="204"/>
    <cellStyle name="Grid 73" xfId="205"/>
    <cellStyle name="Grid 74" xfId="206"/>
    <cellStyle name="Grid 75" xfId="207"/>
    <cellStyle name="Grid 76" xfId="208"/>
    <cellStyle name="Grid 77" xfId="209"/>
    <cellStyle name="Grid 78" xfId="210"/>
    <cellStyle name="Grid 79" xfId="211"/>
    <cellStyle name="Grid 8" xfId="212"/>
    <cellStyle name="Grid 80" xfId="213"/>
    <cellStyle name="Grid 81" xfId="214"/>
    <cellStyle name="Grid 82" xfId="215"/>
    <cellStyle name="Grid 83" xfId="216"/>
    <cellStyle name="Grid 84" xfId="217"/>
    <cellStyle name="Grid 85" xfId="218"/>
    <cellStyle name="Grid 86" xfId="219"/>
    <cellStyle name="Grid 87" xfId="220"/>
    <cellStyle name="Grid 88" xfId="221"/>
    <cellStyle name="Grid 89" xfId="222"/>
    <cellStyle name="Grid 9" xfId="223"/>
    <cellStyle name="Grid 90" xfId="224"/>
    <cellStyle name="Grid 91" xfId="225"/>
    <cellStyle name="Grid 92" xfId="226"/>
    <cellStyle name="Grid 93" xfId="227"/>
    <cellStyle name="Grid 94" xfId="228"/>
    <cellStyle name="Grid 95" xfId="229"/>
    <cellStyle name="Grid 96" xfId="230"/>
    <cellStyle name="Grid 97" xfId="231"/>
    <cellStyle name="Grid 98" xfId="232"/>
    <cellStyle name="Grid 99" xfId="233"/>
    <cellStyle name="Grid_100128 Initiative model RHB" xfId="234"/>
    <cellStyle name="Heading 1" xfId="235"/>
    <cellStyle name="Heading 2" xfId="236"/>
    <cellStyle name="Heading 2 2" xfId="237"/>
    <cellStyle name="Heading 3" xfId="238"/>
    <cellStyle name="Heading 3 2" xfId="239"/>
    <cellStyle name="Heading 4" xfId="240"/>
    <cellStyle name="Hyperlink" xfId="241"/>
    <cellStyle name="Index_entry_xlr8r" xfId="242"/>
    <cellStyle name="Input" xfId="243"/>
    <cellStyle name="Input 10" xfId="244"/>
    <cellStyle name="Input 11" xfId="245"/>
    <cellStyle name="Input 12" xfId="246"/>
    <cellStyle name="Input 13" xfId="247"/>
    <cellStyle name="Input 14" xfId="248"/>
    <cellStyle name="Input 15" xfId="249"/>
    <cellStyle name="Input 16" xfId="250"/>
    <cellStyle name="Input 17" xfId="251"/>
    <cellStyle name="Input 18" xfId="252"/>
    <cellStyle name="Input 19" xfId="253"/>
    <cellStyle name="Input 2" xfId="254"/>
    <cellStyle name="Input 2 10" xfId="255"/>
    <cellStyle name="Input 2 11" xfId="256"/>
    <cellStyle name="Input 2 12" xfId="257"/>
    <cellStyle name="Input 2 13" xfId="258"/>
    <cellStyle name="Input 2 14" xfId="259"/>
    <cellStyle name="Input 2 15" xfId="260"/>
    <cellStyle name="Input 2 16" xfId="261"/>
    <cellStyle name="Input 2 17" xfId="262"/>
    <cellStyle name="Input 2 18" xfId="263"/>
    <cellStyle name="Input 2 19" xfId="264"/>
    <cellStyle name="Input 2 2" xfId="265"/>
    <cellStyle name="Input 2 20" xfId="266"/>
    <cellStyle name="Input 2 21" xfId="267"/>
    <cellStyle name="Input 2 22" xfId="268"/>
    <cellStyle name="Input 2 3" xfId="269"/>
    <cellStyle name="Input 2 4" xfId="270"/>
    <cellStyle name="Input 2 5" xfId="271"/>
    <cellStyle name="Input 2 6" xfId="272"/>
    <cellStyle name="Input 2 7" xfId="273"/>
    <cellStyle name="Input 2 8" xfId="274"/>
    <cellStyle name="Input 2 9" xfId="275"/>
    <cellStyle name="Input 2_2010.01.10 Initiative model v3 PAYGO adjustment" xfId="276"/>
    <cellStyle name="Input 20" xfId="277"/>
    <cellStyle name="Input 21" xfId="278"/>
    <cellStyle name="Input 22" xfId="279"/>
    <cellStyle name="Input 3" xfId="280"/>
    <cellStyle name="Input 3 2" xfId="281"/>
    <cellStyle name="Input 3 3" xfId="282"/>
    <cellStyle name="Input 3_2010.01.10 Initiative model v3 PAYGO adjustment" xfId="283"/>
    <cellStyle name="Input 4" xfId="284"/>
    <cellStyle name="Input 4 2" xfId="285"/>
    <cellStyle name="Input 4 3" xfId="286"/>
    <cellStyle name="Input 4_2010.01.10 Initiative model v3 PAYGO adjustment" xfId="287"/>
    <cellStyle name="Input 5" xfId="288"/>
    <cellStyle name="Input 5 2" xfId="289"/>
    <cellStyle name="Input 5 3" xfId="290"/>
    <cellStyle name="Input 5_2010.01.10 Initiative model v3 PAYGO adjustment" xfId="291"/>
    <cellStyle name="Input 6" xfId="292"/>
    <cellStyle name="Input 7" xfId="293"/>
    <cellStyle name="Input 8" xfId="294"/>
    <cellStyle name="Linked Cell" xfId="295"/>
    <cellStyle name="M_Link" xfId="296"/>
    <cellStyle name="M_Link_100128 Initiative model RHB" xfId="297"/>
    <cellStyle name="M_Link_100226 Model with Mkting Volume" xfId="298"/>
    <cellStyle name="M_Link_100402 BP Model" xfId="299"/>
    <cellStyle name="M_Link_100405 BP Model CSRS only_$7B fcst_Price Increase Q2" xfId="300"/>
    <cellStyle name="M_Link_100413 BP Model_New Indices" xfId="301"/>
    <cellStyle name="M_Link_100420 BP Model April Rebamp" xfId="302"/>
    <cellStyle name="M_Link_2010.01.10 Initiative model v3 PAYGO adjustment" xfId="303"/>
    <cellStyle name="M_Link_2010.01.13 Initiative model v3" xfId="304"/>
    <cellStyle name="M_Link_2010.01.13 Initiative model vX7" xfId="305"/>
    <cellStyle name="M_Link_2010.01.15 Initiative model v3" xfId="306"/>
    <cellStyle name="M_Link_2010.01.18 Initiative model v10" xfId="307"/>
    <cellStyle name="M_Link_2010.01.18 Initiative model v12" xfId="308"/>
    <cellStyle name="M_Link_2010.01.18 Initiative model v3" xfId="309"/>
    <cellStyle name="M_Link_2010.01.18 Initiative model v4" xfId="310"/>
    <cellStyle name="M_Link_2010.01.18 Initiative model v5" xfId="311"/>
    <cellStyle name="M_Link_2010.01.18 Initiative model v6" xfId="312"/>
    <cellStyle name="M_Link_2010.01.20 Initiative model vF2" xfId="313"/>
    <cellStyle name="M_Link_2010.01.24 Initiative model vF" xfId="314"/>
    <cellStyle name="M_Link_Base Model Feeder v1" xfId="315"/>
    <cellStyle name="M_Link_Chart Output" xfId="316"/>
    <cellStyle name="M_Link_Chart Output -- AS" xfId="317"/>
    <cellStyle name="M_Link_Chart Output -- AS_100128 Initiative model RHB" xfId="318"/>
    <cellStyle name="M_Link_Chart Output -- AS_100226 Model with Mkting Volume" xfId="319"/>
    <cellStyle name="M_Link_Chart Output -- AS_100402 BP Model" xfId="320"/>
    <cellStyle name="M_Link_Chart Output -- AS_100405 BP Model CSRS only_$7B fcst_Price Increase Q2" xfId="321"/>
    <cellStyle name="M_Link_Chart Output -- AS_100413 BP Model_New Indices" xfId="322"/>
    <cellStyle name="M_Link_Chart Output -- AS_100420 BP Model April Rebamp" xfId="323"/>
    <cellStyle name="M_Link_Chart Output -- AS_2010.01.10 Initiative model v3 PAYGO adjustment" xfId="324"/>
    <cellStyle name="M_Link_Chart Output -- AS_2010.01.13 Initiative model v3" xfId="325"/>
    <cellStyle name="M_Link_Chart Output -- AS_2010.01.13 Initiative model vX7" xfId="326"/>
    <cellStyle name="M_Link_Chart Output -- AS_2010.01.15 Initiative model v3" xfId="327"/>
    <cellStyle name="M_Link_Chart Output -- AS_2010.01.18 Initiative model v10" xfId="328"/>
    <cellStyle name="M_Link_Chart Output -- AS_2010.01.18 Initiative model v12" xfId="329"/>
    <cellStyle name="M_Link_Chart Output -- AS_2010.01.18 Initiative model v3" xfId="330"/>
    <cellStyle name="M_Link_Chart Output -- AS_2010.01.18 Initiative model v4" xfId="331"/>
    <cellStyle name="M_Link_Chart Output -- AS_2010.01.18 Initiative model v5" xfId="332"/>
    <cellStyle name="M_Link_Chart Output -- AS_2010.01.18 Initiative model v6" xfId="333"/>
    <cellStyle name="M_Link_Chart Output -- AS_2010.01.20 Initiative model vF2" xfId="334"/>
    <cellStyle name="M_Link_Chart Output -- AS_2010.01.24 Initiative model vF" xfId="335"/>
    <cellStyle name="M_Link_Chart Output -- AS_Base Model Feeder v1" xfId="336"/>
    <cellStyle name="M_Link_Chart Output -- AS_Initiative dashboard" xfId="337"/>
    <cellStyle name="M_Link_Chart Output -- AS_L4" xfId="338"/>
    <cellStyle name="M_Link_Chart Output -- AS_R2" xfId="339"/>
    <cellStyle name="M_Link_Chart Output -- AS_S3" xfId="340"/>
    <cellStyle name="M_Link_Chart Output -- AS_S4" xfId="341"/>
    <cellStyle name="M_Link_Chart Output -- AS_USPS Strategic Base model" xfId="342"/>
    <cellStyle name="M_Link_Chart Output -- AS_USPS Strategic Base model HANDOFF" xfId="343"/>
    <cellStyle name="M_Link_Chart Output -- AS_USPS Strategic Base model v12" xfId="344"/>
    <cellStyle name="M_Link_Chart Output -- AS_USPS Strategic Base model v4" xfId="345"/>
    <cellStyle name="M_Link_Chart Output_100128 Initiative model RHB" xfId="346"/>
    <cellStyle name="M_Link_Chart Output_100226 Model with Mkting Volume" xfId="347"/>
    <cellStyle name="M_Link_Chart Output_100402 BP Model" xfId="348"/>
    <cellStyle name="M_Link_Chart Output_100405 BP Model CSRS only_$7B fcst_Price Increase Q2" xfId="349"/>
    <cellStyle name="M_Link_Chart Output_100413 BP Model_New Indices" xfId="350"/>
    <cellStyle name="M_Link_Chart Output_100420 BP Model April Rebamp" xfId="351"/>
    <cellStyle name="M_Link_Chart Output_2010.01.10 Initiative model v3 PAYGO adjustment" xfId="352"/>
    <cellStyle name="M_Link_Chart Output_2010.01.13 Initiative model v3" xfId="353"/>
    <cellStyle name="M_Link_Chart Output_2010.01.13 Initiative model vX7" xfId="354"/>
    <cellStyle name="M_Link_Chart Output_2010.01.15 Initiative model v3" xfId="355"/>
    <cellStyle name="M_Link_Chart Output_2010.01.18 Initiative model v10" xfId="356"/>
    <cellStyle name="M_Link_Chart Output_2010.01.18 Initiative model v12" xfId="357"/>
    <cellStyle name="M_Link_Chart Output_2010.01.18 Initiative model v3" xfId="358"/>
    <cellStyle name="M_Link_Chart Output_2010.01.18 Initiative model v4" xfId="359"/>
    <cellStyle name="M_Link_Chart Output_2010.01.18 Initiative model v5" xfId="360"/>
    <cellStyle name="M_Link_Chart Output_2010.01.18 Initiative model v6" xfId="361"/>
    <cellStyle name="M_Link_Chart Output_2010.01.20 Initiative model vF2" xfId="362"/>
    <cellStyle name="M_Link_Chart Output_2010.01.24 Initiative model vF" xfId="363"/>
    <cellStyle name="M_Link_Chart Output_Base Model Feeder v1" xfId="364"/>
    <cellStyle name="M_Link_Chart Output_Initiative dashboard" xfId="365"/>
    <cellStyle name="M_Link_Chart Output_L4" xfId="366"/>
    <cellStyle name="M_Link_Chart Output_R2" xfId="367"/>
    <cellStyle name="M_Link_Chart Output_S3" xfId="368"/>
    <cellStyle name="M_Link_Chart Output_S4" xfId="369"/>
    <cellStyle name="M_Link_Chart Output_USPS Financial Forecast Model (Formatted)" xfId="370"/>
    <cellStyle name="M_Link_Chart Output_USPS Financial Forecast Model (Formatted)_100128 Initiative model RHB" xfId="371"/>
    <cellStyle name="M_Link_Chart Output_USPS Financial Forecast Model (Formatted)_100226 Model with Mkting Volume" xfId="372"/>
    <cellStyle name="M_Link_Chart Output_USPS Financial Forecast Model (Formatted)_100402 BP Model" xfId="373"/>
    <cellStyle name="M_Link_Chart Output_USPS Financial Forecast Model (Formatted)_100405 BP Model CSRS only_$7B fcst_Price Increase Q2" xfId="374"/>
    <cellStyle name="M_Link_Chart Output_USPS Financial Forecast Model (Formatted)_100413 BP Model_New Indices" xfId="375"/>
    <cellStyle name="M_Link_Chart Output_USPS Financial Forecast Model (Formatted)_100420 BP Model April Rebamp" xfId="376"/>
    <cellStyle name="M_Link_Chart Output_USPS Financial Forecast Model (Formatted)_2010.01.10 Initiative model v3 PAYGO adjustment" xfId="377"/>
    <cellStyle name="M_Link_Chart Output_USPS Financial Forecast Model (Formatted)_2010.01.13 Initiative model v3" xfId="378"/>
    <cellStyle name="M_Link_Chart Output_USPS Financial Forecast Model (Formatted)_2010.01.13 Initiative model vX7" xfId="379"/>
    <cellStyle name="M_Link_Chart Output_USPS Financial Forecast Model (Formatted)_2010.01.15 Initiative model v3" xfId="380"/>
    <cellStyle name="M_Link_Chart Output_USPS Financial Forecast Model (Formatted)_2010.01.18 Initiative model v10" xfId="381"/>
    <cellStyle name="M_Link_Chart Output_USPS Financial Forecast Model (Formatted)_2010.01.18 Initiative model v12" xfId="382"/>
    <cellStyle name="M_Link_Chart Output_USPS Financial Forecast Model (Formatted)_2010.01.18 Initiative model v3" xfId="383"/>
    <cellStyle name="M_Link_Chart Output_USPS Financial Forecast Model (Formatted)_2010.01.18 Initiative model v4" xfId="384"/>
    <cellStyle name="M_Link_Chart Output_USPS Financial Forecast Model (Formatted)_2010.01.18 Initiative model v5" xfId="385"/>
    <cellStyle name="M_Link_Chart Output_USPS Financial Forecast Model (Formatted)_2010.01.18 Initiative model v6" xfId="386"/>
    <cellStyle name="M_Link_Chart Output_USPS Financial Forecast Model (Formatted)_2010.01.20 Initiative model vF2" xfId="387"/>
    <cellStyle name="M_Link_Chart Output_USPS Financial Forecast Model (Formatted)_2010.01.24 Initiative model vF" xfId="388"/>
    <cellStyle name="M_Link_Chart Output_USPS Financial Forecast Model (Formatted)_Base Model Feeder v1" xfId="389"/>
    <cellStyle name="M_Link_Chart Output_USPS Financial Forecast Model (Formatted)_Initiative dashboard" xfId="390"/>
    <cellStyle name="M_Link_Chart Output_USPS Financial Forecast Model (Formatted)_L4" xfId="391"/>
    <cellStyle name="M_Link_Chart Output_USPS Financial Forecast Model (Formatted)_R2" xfId="392"/>
    <cellStyle name="M_Link_Chart Output_USPS Financial Forecast Model (Formatted)_S3" xfId="393"/>
    <cellStyle name="M_Link_Chart Output_USPS Financial Forecast Model (Formatted)_S4" xfId="394"/>
    <cellStyle name="M_Link_Chart Output_USPS Financial Forecast Model (Formatted)_USPS Strategic Base model" xfId="395"/>
    <cellStyle name="M_Link_Chart Output_USPS Financial Forecast Model (Formatted)_USPS Strategic Base model HANDOFF" xfId="396"/>
    <cellStyle name="M_Link_Chart Output_USPS Financial Forecast Model (Formatted)_USPS Strategic Base model v12" xfId="397"/>
    <cellStyle name="M_Link_Chart Output_USPS Financial Forecast Model (Formatted)_USPS Strategic Base model v4" xfId="398"/>
    <cellStyle name="M_Link_Chart Output_USPS Strategic Base model" xfId="399"/>
    <cellStyle name="M_Link_Chart Output_USPS Strategic Base model HANDOFF" xfId="400"/>
    <cellStyle name="M_Link_Chart Output_USPS Strategic Base model v12" xfId="401"/>
    <cellStyle name="M_Link_Chart Output_USPS Strategic Base model v4" xfId="402"/>
    <cellStyle name="M_Link_Initiative dashboard" xfId="403"/>
    <cellStyle name="M_Link_L4" xfId="404"/>
    <cellStyle name="M_Link_R2" xfId="405"/>
    <cellStyle name="M_Link_S3" xfId="406"/>
    <cellStyle name="M_Link_S4" xfId="407"/>
    <cellStyle name="M_Link_Sheet1" xfId="408"/>
    <cellStyle name="M_Link_USPS Financial Forecast Model (Formatted)" xfId="409"/>
    <cellStyle name="M_Link_USPS Financial Forecast Model (Formatted)_100128 Initiative model RHB" xfId="410"/>
    <cellStyle name="M_Link_USPS Financial Forecast Model (Formatted)_100226 Model with Mkting Volume" xfId="411"/>
    <cellStyle name="M_Link_USPS Financial Forecast Model (Formatted)_100402 BP Model" xfId="412"/>
    <cellStyle name="M_Link_USPS Financial Forecast Model (Formatted)_100405 BP Model CSRS only_$7B fcst_Price Increase Q2" xfId="413"/>
    <cellStyle name="M_Link_USPS Financial Forecast Model (Formatted)_100413 BP Model_New Indices" xfId="414"/>
    <cellStyle name="M_Link_USPS Financial Forecast Model (Formatted)_100420 BP Model April Rebamp" xfId="415"/>
    <cellStyle name="M_Link_USPS Financial Forecast Model (Formatted)_2010.01.10 Initiative model v3 PAYGO adjustment" xfId="416"/>
    <cellStyle name="M_Link_USPS Financial Forecast Model (Formatted)_2010.01.13 Initiative model v3" xfId="417"/>
    <cellStyle name="M_Link_USPS Financial Forecast Model (Formatted)_2010.01.13 Initiative model vX7" xfId="418"/>
    <cellStyle name="M_Link_USPS Financial Forecast Model (Formatted)_2010.01.15 Initiative model v3" xfId="419"/>
    <cellStyle name="M_Link_USPS Financial Forecast Model (Formatted)_2010.01.18 Initiative model v10" xfId="420"/>
    <cellStyle name="M_Link_USPS Financial Forecast Model (Formatted)_2010.01.18 Initiative model v12" xfId="421"/>
    <cellStyle name="M_Link_USPS Financial Forecast Model (Formatted)_2010.01.18 Initiative model v3" xfId="422"/>
    <cellStyle name="M_Link_USPS Financial Forecast Model (Formatted)_2010.01.18 Initiative model v4" xfId="423"/>
    <cellStyle name="M_Link_USPS Financial Forecast Model (Formatted)_2010.01.18 Initiative model v5" xfId="424"/>
    <cellStyle name="M_Link_USPS Financial Forecast Model (Formatted)_2010.01.18 Initiative model v6" xfId="425"/>
    <cellStyle name="M_Link_USPS Financial Forecast Model (Formatted)_2010.01.20 Initiative model vF2" xfId="426"/>
    <cellStyle name="M_Link_USPS Financial Forecast Model (Formatted)_2010.01.24 Initiative model vF" xfId="427"/>
    <cellStyle name="M_Link_USPS Financial Forecast Model (Formatted)_Base Model Feeder v1" xfId="428"/>
    <cellStyle name="M_Link_USPS Financial Forecast Model (Formatted)_Initiative dashboard" xfId="429"/>
    <cellStyle name="M_Link_USPS Financial Forecast Model (Formatted)_L4" xfId="430"/>
    <cellStyle name="M_Link_USPS Financial Forecast Model (Formatted)_R2" xfId="431"/>
    <cellStyle name="M_Link_USPS Financial Forecast Model (Formatted)_S3" xfId="432"/>
    <cellStyle name="M_Link_USPS Financial Forecast Model (Formatted)_S4" xfId="433"/>
    <cellStyle name="M_Link_USPS Financial Forecast Model (Formatted)_USPS Strategic Base model" xfId="434"/>
    <cellStyle name="M_Link_USPS Financial Forecast Model (Formatted)_USPS Strategic Base model HANDOFF" xfId="435"/>
    <cellStyle name="M_Link_USPS Financial Forecast Model (Formatted)_USPS Strategic Base model v12" xfId="436"/>
    <cellStyle name="M_Link_USPS Financial Forecast Model (Formatted)_USPS Strategic Base model v4" xfId="437"/>
    <cellStyle name="M_Link_USPS Strategic Base model" xfId="438"/>
    <cellStyle name="M_Link_USPS Strategic Base model HANDOFF" xfId="439"/>
    <cellStyle name="M_Link_USPS Strategic Base model v12" xfId="440"/>
    <cellStyle name="M_Link_USPS Strategic Base model v4" xfId="441"/>
    <cellStyle name="M_Output" xfId="442"/>
    <cellStyle name="M_Output_100128 Initiative model RHB" xfId="443"/>
    <cellStyle name="M_Output_100226 Model with Mkting Volume" xfId="444"/>
    <cellStyle name="M_Output_100402 BP Model" xfId="445"/>
    <cellStyle name="M_Output_100405 BP Model CSRS only_$7B fcst_Price Increase Q2" xfId="446"/>
    <cellStyle name="M_Output_100413 BP Model_New Indices" xfId="447"/>
    <cellStyle name="M_Output_100420 BP Model April Rebamp" xfId="448"/>
    <cellStyle name="M_Output_2010.01.10 Initiative model v3 PAYGO adjustment" xfId="449"/>
    <cellStyle name="M_Output_2010.01.13 Initiative model v3" xfId="450"/>
    <cellStyle name="M_Output_2010.01.13 Initiative model vX7" xfId="451"/>
    <cellStyle name="M_Output_2010.01.15 Initiative model v3" xfId="452"/>
    <cellStyle name="M_Output_2010.01.18 Initiative model v10" xfId="453"/>
    <cellStyle name="M_Output_2010.01.18 Initiative model v12" xfId="454"/>
    <cellStyle name="M_Output_2010.01.18 Initiative model v3" xfId="455"/>
    <cellStyle name="M_Output_2010.01.18 Initiative model v4" xfId="456"/>
    <cellStyle name="M_Output_2010.01.18 Initiative model v5" xfId="457"/>
    <cellStyle name="M_Output_2010.01.18 Initiative model v6" xfId="458"/>
    <cellStyle name="M_Output_2010.01.20 Initiative model vF2" xfId="459"/>
    <cellStyle name="M_Output_2010.01.24 Initiative model vF" xfId="460"/>
    <cellStyle name="M_Output_Base Model Feeder v1" xfId="461"/>
    <cellStyle name="M_Output_Chart Output" xfId="462"/>
    <cellStyle name="M_Output_Chart Output -- AS" xfId="463"/>
    <cellStyle name="M_Output_Chart Output_USPS Financial Forecast Model (Formatted)" xfId="464"/>
    <cellStyle name="M_Output_Initiative dashboard" xfId="465"/>
    <cellStyle name="M_Output_L4" xfId="466"/>
    <cellStyle name="M_Output_R2" xfId="467"/>
    <cellStyle name="M_Output_S3" xfId="468"/>
    <cellStyle name="M_Output_S4" xfId="469"/>
    <cellStyle name="M_Output_Sheet1" xfId="470"/>
    <cellStyle name="M_Output_USPS Financial Forecast Model (Formatted)" xfId="471"/>
    <cellStyle name="M_Output_USPS Strategic Base model" xfId="472"/>
    <cellStyle name="M_Output_USPS Strategic Base model HANDOFF" xfId="473"/>
    <cellStyle name="M_Output_USPS Strategic Base model v12" xfId="474"/>
    <cellStyle name="M_Output_USPS Strategic Base model v4" xfId="475"/>
    <cellStyle name="Neutral" xfId="476"/>
    <cellStyle name="Normal 10" xfId="477"/>
    <cellStyle name="Normal 11" xfId="478"/>
    <cellStyle name="Normal 12" xfId="479"/>
    <cellStyle name="Normal 13" xfId="480"/>
    <cellStyle name="Normal 14" xfId="481"/>
    <cellStyle name="Normal 15" xfId="482"/>
    <cellStyle name="Normal 16" xfId="483"/>
    <cellStyle name="Normal 17" xfId="484"/>
    <cellStyle name="Normal 18" xfId="485"/>
    <cellStyle name="Normal 19" xfId="486"/>
    <cellStyle name="Normal 2" xfId="487"/>
    <cellStyle name="Normal 2 10" xfId="488"/>
    <cellStyle name="Normal 2 11" xfId="489"/>
    <cellStyle name="Normal 2 12" xfId="490"/>
    <cellStyle name="Normal 2 13" xfId="491"/>
    <cellStyle name="Normal 2 14" xfId="492"/>
    <cellStyle name="Normal 2 15" xfId="493"/>
    <cellStyle name="Normal 2 16" xfId="494"/>
    <cellStyle name="Normal 2 17" xfId="495"/>
    <cellStyle name="Normal 2 18" xfId="496"/>
    <cellStyle name="Normal 2 19" xfId="497"/>
    <cellStyle name="Normal 2 2" xfId="498"/>
    <cellStyle name="Normal 2 2 2" xfId="499"/>
    <cellStyle name="Normal 2 2 2 2" xfId="500"/>
    <cellStyle name="Normal 2 2 2 2 2" xfId="501"/>
    <cellStyle name="Normal 2 2 2 2 2 2" xfId="502"/>
    <cellStyle name="Normal 2 2 2 3" xfId="503"/>
    <cellStyle name="Normal 2 2 2_Base Model Feeder v1" xfId="504"/>
    <cellStyle name="Normal 2 2 3" xfId="505"/>
    <cellStyle name="Normal 2 2 3 2" xfId="506"/>
    <cellStyle name="Normal 2 2 3_Base Model Feeder v1" xfId="507"/>
    <cellStyle name="Normal 2 2 4" xfId="508"/>
    <cellStyle name="Normal 2 2 5" xfId="509"/>
    <cellStyle name="Normal 2 2 6" xfId="510"/>
    <cellStyle name="Normal 2 2_Base Model Feeder v1" xfId="511"/>
    <cellStyle name="Normal 2 20" xfId="512"/>
    <cellStyle name="Normal 2 21" xfId="513"/>
    <cellStyle name="Normal 2 22" xfId="514"/>
    <cellStyle name="Normal 2 23" xfId="515"/>
    <cellStyle name="Normal 2 24" xfId="516"/>
    <cellStyle name="Normal 2 25" xfId="517"/>
    <cellStyle name="Normal 2 26" xfId="518"/>
    <cellStyle name="Normal 2 3" xfId="519"/>
    <cellStyle name="Normal 2 4" xfId="520"/>
    <cellStyle name="Normal 2 5" xfId="521"/>
    <cellStyle name="Normal 2 6" xfId="522"/>
    <cellStyle name="Normal 2 7" xfId="523"/>
    <cellStyle name="Normal 2 8" xfId="524"/>
    <cellStyle name="Normal 2 9" xfId="525"/>
    <cellStyle name="Normal 2_100128 Initiative model RHB" xfId="526"/>
    <cellStyle name="Normal 20" xfId="527"/>
    <cellStyle name="Normal 21" xfId="528"/>
    <cellStyle name="Normal 22" xfId="529"/>
    <cellStyle name="Normal 23" xfId="530"/>
    <cellStyle name="Normal 27" xfId="531"/>
    <cellStyle name="Normal 3" xfId="532"/>
    <cellStyle name="Normal 3 2" xfId="533"/>
    <cellStyle name="Normal 3_100203 Management Plan Revenue and Volume Fcst" xfId="534"/>
    <cellStyle name="Normal 4" xfId="535"/>
    <cellStyle name="Normal 4 2" xfId="536"/>
    <cellStyle name="Normal 4 3" xfId="537"/>
    <cellStyle name="Normal 4 4" xfId="538"/>
    <cellStyle name="Normal 4 5" xfId="539"/>
    <cellStyle name="Normal 4 6" xfId="540"/>
    <cellStyle name="Normal 4_100128 Initiative model RHB" xfId="541"/>
    <cellStyle name="Normal 5" xfId="542"/>
    <cellStyle name="Normal 5 2" xfId="543"/>
    <cellStyle name="Normal 5 3" xfId="544"/>
    <cellStyle name="Normal 6" xfId="545"/>
    <cellStyle name="Normal 6 2" xfId="546"/>
    <cellStyle name="Normal 6 3" xfId="547"/>
    <cellStyle name="Normal 7" xfId="548"/>
    <cellStyle name="Normal 8" xfId="549"/>
    <cellStyle name="Normal 8 2" xfId="550"/>
    <cellStyle name="Normal 8 3" xfId="551"/>
    <cellStyle name="Normal 8_Base Model Feeder v1" xfId="552"/>
    <cellStyle name="Normal 9" xfId="553"/>
    <cellStyle name="Normal 9 2" xfId="554"/>
    <cellStyle name="Normal 9 3" xfId="555"/>
    <cellStyle name="Note" xfId="556"/>
    <cellStyle name="Note 2" xfId="557"/>
    <cellStyle name="Note 5" xfId="558"/>
    <cellStyle name="Note 5 2" xfId="559"/>
    <cellStyle name="Note 5 3" xfId="560"/>
    <cellStyle name="Output" xfId="561"/>
    <cellStyle name="Percent" xfId="562"/>
    <cellStyle name="Percent 2" xfId="563"/>
    <cellStyle name="Percent 2 10" xfId="564"/>
    <cellStyle name="Percent 2 11" xfId="565"/>
    <cellStyle name="Percent 2 12" xfId="566"/>
    <cellStyle name="Percent 2 13" xfId="567"/>
    <cellStyle name="Percent 2 14" xfId="568"/>
    <cellStyle name="Percent 2 15" xfId="569"/>
    <cellStyle name="Percent 2 16" xfId="570"/>
    <cellStyle name="Percent 2 17" xfId="571"/>
    <cellStyle name="Percent 2 18" xfId="572"/>
    <cellStyle name="Percent 2 19" xfId="573"/>
    <cellStyle name="Percent 2 2" xfId="574"/>
    <cellStyle name="Percent 2 20" xfId="575"/>
    <cellStyle name="Percent 2 21" xfId="576"/>
    <cellStyle name="Percent 2 22" xfId="577"/>
    <cellStyle name="Percent 2 3" xfId="578"/>
    <cellStyle name="Percent 2 4" xfId="579"/>
    <cellStyle name="Percent 2 5" xfId="580"/>
    <cellStyle name="Percent 2 6" xfId="581"/>
    <cellStyle name="Percent 2 7" xfId="582"/>
    <cellStyle name="Percent 2 8" xfId="583"/>
    <cellStyle name="Percent 2 9" xfId="584"/>
    <cellStyle name="Percent 3" xfId="585"/>
    <cellStyle name="Percent 4" xfId="586"/>
    <cellStyle name="Style 1" xfId="587"/>
    <cellStyle name="survey_question_xlr8r" xfId="588"/>
    <cellStyle name="tbl_note_xlr8r" xfId="589"/>
    <cellStyle name="Title" xfId="590"/>
    <cellStyle name="Toggle" xfId="591"/>
    <cellStyle name="Total" xfId="592"/>
    <cellStyle name="W" xfId="593"/>
    <cellStyle name="w_SHD Incentive Analysis v7" xfId="594"/>
    <cellStyle name="Warning Text" xfId="5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D4574897\Documents\My%20Documents\USPS\Domestic%20Mail%20Analytics\Product%20Management%20Analytics\2024%20Marketing%20Mail%20Incentive\(2023_08_08)%20Marketing%20Mail%20Incentive_Projections,v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Financials"/>
      <sheetName val="Summary Range"/>
      <sheetName val="Reg Letters"/>
      <sheetName val="Reg Flats"/>
      <sheetName val="Reg Carrier Route Letters"/>
      <sheetName val="Reg Carrier Route Flats"/>
      <sheetName val="Reg-Sat Letters"/>
      <sheetName val="Reg-Sat Flats"/>
      <sheetName val="Reg-EDDM Letters"/>
      <sheetName val="Reg-EDDM Flats"/>
      <sheetName val="Reg-HD Plus Letters"/>
      <sheetName val="Reg-HD Plus Flats"/>
      <sheetName val="Reg HD Letters"/>
      <sheetName val="Reg HD Flats"/>
      <sheetName val="Reg Parcels"/>
      <sheetName val="NP Letters"/>
      <sheetName val="NP Flats"/>
      <sheetName val="NP Carrier Route Letters "/>
      <sheetName val="NP Carrier Route Flats"/>
      <sheetName val="NP Sat Letters"/>
      <sheetName val="NP Sat Flats"/>
      <sheetName val="NP EDDM Letters"/>
      <sheetName val="NP EDDM Flats"/>
      <sheetName val="NP HD Plus Letters"/>
      <sheetName val="NP HD Plus Flats"/>
      <sheetName val="NP HD Letters"/>
      <sheetName val="NP HD Flats"/>
      <sheetName val="NP Parcels"/>
      <sheetName val="RPW Vol and Rev"/>
      <sheetName val="Marketing Mail Volume Gro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39.140625" style="1" customWidth="1"/>
    <col min="3" max="3" width="11.7109375" style="1" bestFit="1" customWidth="1"/>
    <col min="4" max="4" width="69.421875" style="1" bestFit="1" customWidth="1"/>
    <col min="5" max="5" width="40.7109375" style="1" customWidth="1"/>
    <col min="6" max="16384" width="9.140625" style="1" customWidth="1"/>
  </cols>
  <sheetData>
    <row r="2" ht="19.5">
      <c r="B2" s="2" t="s">
        <v>101</v>
      </c>
    </row>
    <row r="3" ht="12.75">
      <c r="B3" s="3" t="s">
        <v>0</v>
      </c>
    </row>
    <row r="4" ht="9.75">
      <c r="B4" s="4"/>
    </row>
    <row r="5" spans="2:5" ht="10.5">
      <c r="B5" s="25" t="s">
        <v>1</v>
      </c>
      <c r="C5" s="121" t="s">
        <v>2</v>
      </c>
      <c r="D5" s="25" t="s">
        <v>4</v>
      </c>
      <c r="E5" s="26" t="s">
        <v>3</v>
      </c>
    </row>
    <row r="6" spans="2:5" ht="10.5">
      <c r="B6" s="23"/>
      <c r="C6" s="23"/>
      <c r="D6" s="23"/>
      <c r="E6" s="21"/>
    </row>
    <row r="7" spans="2:5" ht="10.5">
      <c r="B7" s="30" t="s">
        <v>5</v>
      </c>
      <c r="C7" s="23"/>
      <c r="D7" s="23"/>
      <c r="E7" s="21"/>
    </row>
    <row r="8" spans="1:5" ht="9.75">
      <c r="A8" s="17">
        <v>1</v>
      </c>
      <c r="B8" s="27" t="s">
        <v>6</v>
      </c>
      <c r="C8" s="33">
        <v>1</v>
      </c>
      <c r="D8" s="7" t="s">
        <v>87</v>
      </c>
      <c r="E8" s="11" t="s">
        <v>138</v>
      </c>
    </row>
    <row r="9" spans="1:5" ht="9.75">
      <c r="A9" s="17">
        <f>A8+1</f>
        <v>2</v>
      </c>
      <c r="B9" s="7" t="s">
        <v>77</v>
      </c>
      <c r="C9" s="102" t="s">
        <v>74</v>
      </c>
      <c r="D9" s="7" t="s">
        <v>78</v>
      </c>
      <c r="E9" s="11" t="s">
        <v>107</v>
      </c>
    </row>
    <row r="10" spans="2:4" ht="9.75">
      <c r="B10" s="7"/>
      <c r="C10" s="98"/>
      <c r="D10" s="7"/>
    </row>
    <row r="11" spans="2:4" ht="9.75">
      <c r="B11" s="24" t="s">
        <v>47</v>
      </c>
      <c r="C11" s="98"/>
      <c r="D11" s="7"/>
    </row>
    <row r="12" spans="1:5" ht="9.75">
      <c r="A12" s="17">
        <f>A9+1</f>
        <v>3</v>
      </c>
      <c r="B12" s="7" t="s">
        <v>119</v>
      </c>
      <c r="C12" s="154">
        <f>'RPW Vol and Rev'!H14</f>
        <v>35144230373</v>
      </c>
      <c r="D12" s="7" t="s">
        <v>70</v>
      </c>
      <c r="E12" s="1" t="s">
        <v>120</v>
      </c>
    </row>
    <row r="13" spans="1:5" ht="10.5">
      <c r="A13" s="17">
        <f aca="true" t="shared" si="0" ref="A13:A18">A12+1</f>
        <v>4</v>
      </c>
      <c r="B13" s="7" t="s">
        <v>118</v>
      </c>
      <c r="C13" s="155">
        <f>'First Class Mail Volume Trend'!C10</f>
        <v>-0.06123360729925731</v>
      </c>
      <c r="D13" s="7" t="s">
        <v>117</v>
      </c>
      <c r="E13" s="1" t="s">
        <v>69</v>
      </c>
    </row>
    <row r="14" spans="1:5" ht="9.75">
      <c r="A14" s="28">
        <f t="shared" si="0"/>
        <v>5</v>
      </c>
      <c r="B14" s="29" t="s">
        <v>89</v>
      </c>
      <c r="C14" s="103">
        <v>0.8601910365585088</v>
      </c>
      <c r="D14" s="29" t="s">
        <v>127</v>
      </c>
      <c r="E14" s="78" t="s">
        <v>88</v>
      </c>
    </row>
    <row r="15" spans="1:5" ht="9.75">
      <c r="A15" s="28">
        <f t="shared" si="0"/>
        <v>6</v>
      </c>
      <c r="B15" s="7" t="s">
        <v>8</v>
      </c>
      <c r="C15" s="103">
        <v>0.285</v>
      </c>
      <c r="D15" s="7" t="s">
        <v>90</v>
      </c>
      <c r="E15" s="1" t="s">
        <v>84</v>
      </c>
    </row>
    <row r="16" spans="1:5" ht="9.75">
      <c r="A16" s="28">
        <f t="shared" si="0"/>
        <v>7</v>
      </c>
      <c r="B16" s="7" t="s">
        <v>139</v>
      </c>
      <c r="C16" s="103">
        <v>0.37</v>
      </c>
      <c r="D16" s="7" t="s">
        <v>127</v>
      </c>
      <c r="E16" s="1" t="s">
        <v>108</v>
      </c>
    </row>
    <row r="17" spans="1:5" ht="9.75">
      <c r="A17" s="28">
        <f t="shared" si="0"/>
        <v>8</v>
      </c>
      <c r="B17" s="7" t="s">
        <v>140</v>
      </c>
      <c r="C17" s="127">
        <f>C14*C15*C16</f>
        <v>0.09070714480509474</v>
      </c>
      <c r="D17" s="7" t="s">
        <v>22</v>
      </c>
      <c r="E17" s="1" t="s">
        <v>128</v>
      </c>
    </row>
    <row r="18" spans="1:5" ht="9.75">
      <c r="A18" s="28">
        <f t="shared" si="0"/>
        <v>9</v>
      </c>
      <c r="B18" s="7" t="s">
        <v>96</v>
      </c>
      <c r="C18" s="103">
        <v>0.24</v>
      </c>
      <c r="D18" s="29" t="s">
        <v>127</v>
      </c>
      <c r="E18" s="1" t="s">
        <v>108</v>
      </c>
    </row>
    <row r="19" spans="1:4" ht="9.75">
      <c r="A19" s="28"/>
      <c r="B19" s="7"/>
      <c r="C19" s="95"/>
      <c r="D19" s="7"/>
    </row>
    <row r="20" spans="2:4" ht="9.75">
      <c r="B20" s="24" t="s">
        <v>102</v>
      </c>
      <c r="C20" s="101"/>
      <c r="D20" s="7"/>
    </row>
    <row r="21" spans="2:4" ht="9.75">
      <c r="B21" s="31" t="s">
        <v>46</v>
      </c>
      <c r="C21" s="7"/>
      <c r="D21" s="7"/>
    </row>
    <row r="22" spans="1:5" ht="9.75">
      <c r="A22" s="17">
        <f>A18+1</f>
        <v>10</v>
      </c>
      <c r="B22" s="32" t="s">
        <v>91</v>
      </c>
      <c r="C22" s="33">
        <v>0.3</v>
      </c>
      <c r="D22" s="7" t="s">
        <v>64</v>
      </c>
      <c r="E22" s="1" t="s">
        <v>7</v>
      </c>
    </row>
    <row r="23" spans="1:5" ht="9.75">
      <c r="A23" s="17">
        <f>A22+1</f>
        <v>11</v>
      </c>
      <c r="B23" s="32" t="s">
        <v>92</v>
      </c>
      <c r="C23" s="33">
        <v>0.3</v>
      </c>
      <c r="D23" s="7" t="s">
        <v>64</v>
      </c>
      <c r="E23" s="1" t="s">
        <v>7</v>
      </c>
    </row>
    <row r="24" spans="1:5" ht="9.75">
      <c r="A24" s="17">
        <f>A23+1</f>
        <v>12</v>
      </c>
      <c r="B24" s="32" t="s">
        <v>121</v>
      </c>
      <c r="C24" s="33">
        <v>0.3</v>
      </c>
      <c r="D24" s="7" t="s">
        <v>64</v>
      </c>
      <c r="E24" s="1" t="s">
        <v>7</v>
      </c>
    </row>
    <row r="25" spans="2:4" ht="9.75">
      <c r="B25" s="7"/>
      <c r="C25" s="7"/>
      <c r="D25" s="7"/>
    </row>
    <row r="26" spans="2:4" ht="9.75">
      <c r="B26" s="24" t="s">
        <v>83</v>
      </c>
      <c r="C26" s="7"/>
      <c r="D26" s="7"/>
    </row>
    <row r="27" spans="2:4" ht="9.75">
      <c r="B27" s="31" t="s">
        <v>46</v>
      </c>
      <c r="C27" s="7"/>
      <c r="D27" s="7"/>
    </row>
    <row r="28" spans="1:5" ht="9.75">
      <c r="A28" s="17">
        <f>A24+1</f>
        <v>13</v>
      </c>
      <c r="B28" s="32" t="s">
        <v>91</v>
      </c>
      <c r="C28" s="93">
        <f>C48*(1+$C$52)*(1+$C$53)</f>
        <v>0.4764148315181914</v>
      </c>
      <c r="D28" s="7" t="s">
        <v>22</v>
      </c>
      <c r="E28" s="1" t="s">
        <v>65</v>
      </c>
    </row>
    <row r="29" spans="1:5" ht="9.75">
      <c r="A29" s="17">
        <f>A28+1</f>
        <v>14</v>
      </c>
      <c r="B29" s="32" t="s">
        <v>92</v>
      </c>
      <c r="C29" s="93">
        <f>C49*(1+$C$52)*(1+$C$53)</f>
        <v>0.3453952950251396</v>
      </c>
      <c r="D29" s="7" t="s">
        <v>22</v>
      </c>
      <c r="E29" s="1" t="s">
        <v>65</v>
      </c>
    </row>
    <row r="30" spans="1:5" ht="9.75">
      <c r="A30" s="17">
        <f>A29+1</f>
        <v>15</v>
      </c>
      <c r="B30" s="32" t="s">
        <v>121</v>
      </c>
      <c r="C30" s="93">
        <f>C50*(1+$C$52)*(1+$C$53)</f>
        <v>1.23436248779342</v>
      </c>
      <c r="D30" s="7" t="s">
        <v>22</v>
      </c>
      <c r="E30" s="1" t="s">
        <v>65</v>
      </c>
    </row>
    <row r="31" spans="2:4" ht="9.75">
      <c r="B31" s="32"/>
      <c r="C31" s="7"/>
      <c r="D31" s="7"/>
    </row>
    <row r="32" spans="2:4" ht="9.75">
      <c r="B32" s="24" t="s">
        <v>86</v>
      </c>
      <c r="C32" s="7"/>
      <c r="D32" s="7"/>
    </row>
    <row r="33" spans="2:4" ht="9.75">
      <c r="B33" s="31" t="s">
        <v>46</v>
      </c>
      <c r="C33" s="7"/>
      <c r="D33" s="7"/>
    </row>
    <row r="34" spans="1:5" ht="9.75">
      <c r="A34" s="17">
        <f>A30+1</f>
        <v>16</v>
      </c>
      <c r="B34" s="32" t="s">
        <v>91</v>
      </c>
      <c r="C34" s="93">
        <f>C41*(1+$C$52)*(1+$C$53)</f>
        <v>0.15308939255287662</v>
      </c>
      <c r="D34" s="7" t="s">
        <v>22</v>
      </c>
      <c r="E34" s="1" t="s">
        <v>66</v>
      </c>
    </row>
    <row r="35" spans="1:5" ht="9.75">
      <c r="A35" s="17">
        <f>A34+1</f>
        <v>17</v>
      </c>
      <c r="B35" s="32" t="s">
        <v>92</v>
      </c>
      <c r="C35" s="93">
        <f>C42*(1+$C$52)*(1+$C$53)</f>
        <v>0.10676053059077958</v>
      </c>
      <c r="D35" s="7" t="s">
        <v>22</v>
      </c>
      <c r="E35" s="1" t="s">
        <v>66</v>
      </c>
    </row>
    <row r="36" spans="1:5" ht="9.75">
      <c r="A36" s="17">
        <f>A35+1</f>
        <v>18</v>
      </c>
      <c r="B36" s="32" t="s">
        <v>121</v>
      </c>
      <c r="C36" s="93">
        <f>C43*(1+$C$52)*(1+$C$53)</f>
        <v>1.4325029350946137</v>
      </c>
      <c r="D36" s="7" t="s">
        <v>22</v>
      </c>
      <c r="E36" s="1" t="s">
        <v>66</v>
      </c>
    </row>
    <row r="37" spans="2:4" ht="9.75">
      <c r="B37" s="7"/>
      <c r="C37" s="89"/>
      <c r="D37" s="7"/>
    </row>
    <row r="38" spans="2:4" ht="9.75">
      <c r="B38" s="32"/>
      <c r="C38" s="7"/>
      <c r="D38" s="7"/>
    </row>
    <row r="39" spans="2:4" ht="9.75">
      <c r="B39" s="24" t="s">
        <v>125</v>
      </c>
      <c r="C39" s="7"/>
      <c r="D39" s="7"/>
    </row>
    <row r="40" spans="2:4" ht="9.75">
      <c r="B40" s="31" t="s">
        <v>46</v>
      </c>
      <c r="C40" s="7"/>
      <c r="D40" s="7"/>
    </row>
    <row r="41" spans="1:5" ht="9.75">
      <c r="A41" s="17">
        <f>A36+1</f>
        <v>19</v>
      </c>
      <c r="B41" s="32" t="s">
        <v>91</v>
      </c>
      <c r="C41" s="104">
        <v>0.14320334933175868</v>
      </c>
      <c r="D41" s="7" t="s">
        <v>124</v>
      </c>
      <c r="E41" s="1" t="s">
        <v>66</v>
      </c>
    </row>
    <row r="42" spans="1:5" ht="9.75">
      <c r="A42" s="17">
        <f>A41+1</f>
        <v>20</v>
      </c>
      <c r="B42" s="32" t="s">
        <v>92</v>
      </c>
      <c r="C42" s="104">
        <v>0.09986626311652995</v>
      </c>
      <c r="D42" s="7" t="s">
        <v>124</v>
      </c>
      <c r="E42" s="1" t="s">
        <v>66</v>
      </c>
    </row>
    <row r="43" spans="1:5" ht="9.75">
      <c r="A43" s="17">
        <f>A42+1</f>
        <v>21</v>
      </c>
      <c r="B43" s="32" t="s">
        <v>121</v>
      </c>
      <c r="C43" s="104">
        <v>1.3399962911360377</v>
      </c>
      <c r="D43" s="7" t="s">
        <v>124</v>
      </c>
      <c r="E43" s="1" t="s">
        <v>66</v>
      </c>
    </row>
    <row r="44" spans="2:4" ht="9.75">
      <c r="B44" s="7"/>
      <c r="C44" s="105"/>
      <c r="D44" s="7"/>
    </row>
    <row r="45" spans="2:4" ht="9.75">
      <c r="B45" s="32"/>
      <c r="C45" s="106"/>
      <c r="D45" s="7"/>
    </row>
    <row r="46" spans="2:4" ht="9.75">
      <c r="B46" s="24" t="s">
        <v>82</v>
      </c>
      <c r="C46" s="105"/>
      <c r="D46" s="7"/>
    </row>
    <row r="47" spans="2:4" ht="9.75">
      <c r="B47" s="31" t="s">
        <v>46</v>
      </c>
      <c r="C47" s="105"/>
      <c r="D47" s="7"/>
    </row>
    <row r="48" spans="1:5" ht="9.75">
      <c r="A48" s="17">
        <f>A43+1</f>
        <v>22</v>
      </c>
      <c r="B48" s="32" t="s">
        <v>91</v>
      </c>
      <c r="C48" s="107">
        <f>'RPW Vol and Rev'!H27</f>
        <v>0.4456494235625508</v>
      </c>
      <c r="D48" s="9" t="s">
        <v>126</v>
      </c>
      <c r="E48" s="1" t="s">
        <v>65</v>
      </c>
    </row>
    <row r="49" spans="1:5" ht="9.75">
      <c r="A49" s="17">
        <f>A48+1</f>
        <v>23</v>
      </c>
      <c r="B49" s="32" t="s">
        <v>92</v>
      </c>
      <c r="C49" s="107">
        <f>'RPW Vol and Rev'!H28</f>
        <v>0.32309072670692696</v>
      </c>
      <c r="D49" s="9" t="s">
        <v>126</v>
      </c>
      <c r="E49" s="1" t="s">
        <v>65</v>
      </c>
    </row>
    <row r="50" spans="1:5" ht="9.75">
      <c r="A50" s="17">
        <f>A49+1</f>
        <v>24</v>
      </c>
      <c r="B50" s="32" t="s">
        <v>121</v>
      </c>
      <c r="C50" s="107">
        <f>'RPW Vol and Rev'!H29</f>
        <v>1.154651145933875</v>
      </c>
      <c r="D50" s="9" t="s">
        <v>126</v>
      </c>
      <c r="E50" s="1" t="s">
        <v>65</v>
      </c>
    </row>
    <row r="51" spans="2:4" ht="9.75">
      <c r="B51" s="32"/>
      <c r="C51" s="94"/>
      <c r="D51" s="7"/>
    </row>
    <row r="52" spans="1:5" ht="9.75">
      <c r="A52" s="17">
        <f>A50+1</f>
        <v>25</v>
      </c>
      <c r="B52" s="32" t="s">
        <v>79</v>
      </c>
      <c r="C52" s="108">
        <v>0.045</v>
      </c>
      <c r="D52" s="7" t="s">
        <v>137</v>
      </c>
      <c r="E52" s="100" t="s">
        <v>81</v>
      </c>
    </row>
    <row r="53" spans="1:5" ht="9.75">
      <c r="A53" s="17">
        <f>A52+1</f>
        <v>26</v>
      </c>
      <c r="B53" s="32" t="s">
        <v>80</v>
      </c>
      <c r="C53" s="108">
        <v>0.023</v>
      </c>
      <c r="D53" s="7" t="s">
        <v>137</v>
      </c>
      <c r="E53" s="100" t="s">
        <v>81</v>
      </c>
    </row>
    <row r="54" ht="9.75">
      <c r="C54" s="109"/>
    </row>
  </sheetData>
  <sheetProtection/>
  <printOptions/>
  <pageMargins left="0.75" right="0.75" top="1" bottom="1" header="0.5" footer="0.5"/>
  <pageSetup horizontalDpi="200" verticalDpi="200" orientation="portrait" scale="54" r:id="rId1"/>
  <headerFooter alignWithMargins="0">
    <oddFooter>&amp;LDate Printed: &amp;D&amp;C&amp;A&amp;R&amp;P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34.421875" style="1" customWidth="1"/>
    <col min="3" max="8" width="13.57421875" style="1" customWidth="1"/>
    <col min="9" max="9" width="9.140625" style="1" customWidth="1"/>
    <col min="10" max="10" width="15.00390625" style="1" bestFit="1" customWidth="1"/>
    <col min="11" max="16384" width="9.140625" style="1" customWidth="1"/>
  </cols>
  <sheetData>
    <row r="2" ht="19.5">
      <c r="B2" s="2" t="e">
        <f>#REF!</f>
        <v>#REF!</v>
      </c>
    </row>
    <row r="3" ht="12.75">
      <c r="B3" s="3" t="s">
        <v>51</v>
      </c>
    </row>
    <row r="4" ht="9.75">
      <c r="B4" s="4" t="s">
        <v>50</v>
      </c>
    </row>
    <row r="5" ht="9.75">
      <c r="B5" s="4"/>
    </row>
    <row r="6" ht="9.75">
      <c r="B6" s="4"/>
    </row>
    <row r="7" ht="9.75">
      <c r="B7" s="44" t="s">
        <v>57</v>
      </c>
    </row>
    <row r="8" spans="3:8" ht="9.75">
      <c r="C8" s="11"/>
      <c r="D8" s="11"/>
      <c r="E8" s="11"/>
      <c r="F8" s="11"/>
      <c r="G8" s="11"/>
      <c r="H8" s="11"/>
    </row>
    <row r="9" spans="2:16" ht="19.5">
      <c r="B9" s="41" t="s">
        <v>1</v>
      </c>
      <c r="C9" s="37" t="s">
        <v>52</v>
      </c>
      <c r="D9" s="15" t="s">
        <v>53</v>
      </c>
      <c r="E9" s="46" t="s">
        <v>54</v>
      </c>
      <c r="F9" s="46" t="s">
        <v>58</v>
      </c>
      <c r="G9" s="15" t="s">
        <v>55</v>
      </c>
      <c r="H9" s="47" t="s">
        <v>56</v>
      </c>
      <c r="J9" s="22"/>
      <c r="K9" s="35"/>
      <c r="L9" s="35"/>
      <c r="M9" s="35"/>
      <c r="N9" s="35"/>
      <c r="O9" s="35"/>
      <c r="P9" s="11"/>
    </row>
    <row r="10" spans="2:16" ht="9.75">
      <c r="B10" s="1" t="s">
        <v>46</v>
      </c>
      <c r="C10" s="38"/>
      <c r="D10" s="39"/>
      <c r="E10" s="39"/>
      <c r="F10" s="39"/>
      <c r="G10" s="39"/>
      <c r="H10" s="40"/>
      <c r="J10" s="11"/>
      <c r="K10" s="36"/>
      <c r="L10" s="36"/>
      <c r="M10" s="36"/>
      <c r="N10" s="36"/>
      <c r="O10" s="36"/>
      <c r="P10" s="11"/>
    </row>
    <row r="11" spans="1:16" ht="9.75">
      <c r="A11" s="17">
        <v>1</v>
      </c>
      <c r="B11" s="32" t="s">
        <v>91</v>
      </c>
      <c r="C11" s="19"/>
      <c r="D11" s="20"/>
      <c r="E11" s="20"/>
      <c r="F11" s="20"/>
      <c r="G11" s="20"/>
      <c r="H11" s="13"/>
      <c r="J11" s="11"/>
      <c r="K11" s="36"/>
      <c r="L11" s="36"/>
      <c r="M11" s="36"/>
      <c r="N11" s="36"/>
      <c r="O11" s="36"/>
      <c r="P11" s="11"/>
    </row>
    <row r="12" spans="1:16" ht="9.75">
      <c r="A12" s="17">
        <f>A11+1</f>
        <v>2</v>
      </c>
      <c r="B12" s="32" t="s">
        <v>92</v>
      </c>
      <c r="C12" s="19"/>
      <c r="D12" s="20"/>
      <c r="E12" s="20"/>
      <c r="F12" s="20"/>
      <c r="G12" s="20"/>
      <c r="H12" s="13"/>
      <c r="J12" s="11"/>
      <c r="K12" s="36"/>
      <c r="L12" s="36"/>
      <c r="M12" s="36"/>
      <c r="N12" s="36"/>
      <c r="O12" s="36"/>
      <c r="P12" s="11"/>
    </row>
    <row r="13" spans="1:16" ht="9.75">
      <c r="A13" s="17">
        <f>A12+1</f>
        <v>3</v>
      </c>
      <c r="B13" s="32" t="s">
        <v>63</v>
      </c>
      <c r="C13" s="19"/>
      <c r="D13" s="20"/>
      <c r="E13" s="20"/>
      <c r="F13" s="20"/>
      <c r="G13" s="20"/>
      <c r="H13" s="13"/>
      <c r="J13" s="11"/>
      <c r="K13" s="36"/>
      <c r="L13" s="36"/>
      <c r="M13" s="36"/>
      <c r="N13" s="36"/>
      <c r="O13" s="36"/>
      <c r="P13" s="11"/>
    </row>
    <row r="14" spans="2:8" ht="9.75">
      <c r="B14" s="11"/>
      <c r="C14" s="11"/>
      <c r="D14" s="11"/>
      <c r="E14" s="11"/>
      <c r="F14" s="11"/>
      <c r="G14" s="11"/>
      <c r="H14" s="11"/>
    </row>
    <row r="15" ht="9.75">
      <c r="B15" s="18" t="s">
        <v>17</v>
      </c>
    </row>
    <row r="16" ht="9.75">
      <c r="B16" s="55" t="s">
        <v>95</v>
      </c>
    </row>
    <row r="17" ht="9.75">
      <c r="B17" s="55" t="s">
        <v>94</v>
      </c>
    </row>
  </sheetData>
  <sheetProtection/>
  <printOptions/>
  <pageMargins left="0.75" right="0.75" top="1" bottom="1" header="0.5" footer="0.5"/>
  <pageSetup horizontalDpi="200" verticalDpi="200" orientation="landscape" scale="82" r:id="rId1"/>
  <headerFooter alignWithMargins="0">
    <oddFooter>&amp;LDate Printed: &amp;D&amp;C&amp;A&amp;R&amp;P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44.8515625" style="1" customWidth="1"/>
    <col min="3" max="7" width="13.57421875" style="1" customWidth="1"/>
    <col min="8" max="8" width="10.7109375" style="66" bestFit="1" customWidth="1"/>
    <col min="9" max="9" width="15.140625" style="1" bestFit="1" customWidth="1"/>
    <col min="10" max="10" width="11.8515625" style="1" bestFit="1" customWidth="1"/>
    <col min="11" max="12" width="11.421875" style="1" bestFit="1" customWidth="1"/>
    <col min="13" max="16384" width="9.140625" style="1" customWidth="1"/>
  </cols>
  <sheetData>
    <row r="2" ht="19.5">
      <c r="B2" s="2" t="str">
        <f>Inputs!B2</f>
        <v>CY2024 First-Class Mail Incentive Program</v>
      </c>
    </row>
    <row r="3" ht="12.75">
      <c r="B3" s="3" t="s">
        <v>9</v>
      </c>
    </row>
    <row r="4" ht="9.75">
      <c r="B4" s="4" t="s">
        <v>122</v>
      </c>
    </row>
    <row r="5" spans="2:12" ht="9.75">
      <c r="B5" s="4"/>
      <c r="K5" s="45"/>
      <c r="L5" s="45"/>
    </row>
    <row r="6" ht="9.75">
      <c r="B6" s="4"/>
    </row>
    <row r="7" ht="9.75">
      <c r="B7" s="4"/>
    </row>
    <row r="8" spans="2:9" ht="10.5">
      <c r="B8" s="6"/>
      <c r="I8" s="6"/>
    </row>
    <row r="9" spans="3:7" ht="10.5">
      <c r="C9" s="59" t="s">
        <v>103</v>
      </c>
      <c r="D9" s="57"/>
      <c r="E9" s="57"/>
      <c r="F9" s="58"/>
      <c r="G9" s="60"/>
    </row>
    <row r="10" spans="2:15" ht="10.5">
      <c r="B10" s="41" t="s">
        <v>1</v>
      </c>
      <c r="C10" s="76" t="s">
        <v>59</v>
      </c>
      <c r="D10" s="77" t="s">
        <v>60</v>
      </c>
      <c r="E10" s="77" t="s">
        <v>61</v>
      </c>
      <c r="F10" s="77" t="s">
        <v>62</v>
      </c>
      <c r="G10" s="77" t="s">
        <v>48</v>
      </c>
      <c r="H10" s="68" t="s">
        <v>42</v>
      </c>
      <c r="I10" s="22"/>
      <c r="J10" s="35"/>
      <c r="K10" s="35"/>
      <c r="L10" s="35"/>
      <c r="M10" s="35"/>
      <c r="N10" s="35"/>
      <c r="O10" s="11"/>
    </row>
    <row r="11" spans="2:15" ht="9.75">
      <c r="B11" s="74" t="s">
        <v>18</v>
      </c>
      <c r="C11" s="62"/>
      <c r="D11" s="62"/>
      <c r="E11" s="62"/>
      <c r="F11" s="62"/>
      <c r="G11" s="62"/>
      <c r="H11" s="70"/>
      <c r="I11" s="22"/>
      <c r="J11" s="35"/>
      <c r="K11" s="35"/>
      <c r="L11" s="35"/>
      <c r="M11" s="35"/>
      <c r="N11" s="35"/>
      <c r="O11" s="11"/>
    </row>
    <row r="12" spans="1:15" ht="9.75">
      <c r="A12" s="17" t="s">
        <v>25</v>
      </c>
      <c r="B12" s="1" t="str">
        <f>"Total "&amp;B4&amp;" FY23"</f>
        <v>Total First Class Presort Letters, Cards and Flats FY23</v>
      </c>
      <c r="C12" s="12">
        <f>'Presort Letters'!C12+'Presort Cards'!C12+Flats!C12</f>
        <v>8783344300</v>
      </c>
      <c r="D12" s="13">
        <f>'Presort Letters'!D12+'Presort Cards'!D12+Flats!D12</f>
        <v>8928903701</v>
      </c>
      <c r="E12" s="13">
        <f>'Presort Letters'!E12+'Presort Cards'!E12+Flats!E12</f>
        <v>7872457134.562265</v>
      </c>
      <c r="F12" s="13">
        <f>'Presort Letters'!F12+'Presort Cards'!F12+Flats!F12</f>
        <v>7773794505.505177</v>
      </c>
      <c r="G12" s="13">
        <f>SUM(C12:F12)</f>
        <v>33358499641.06744</v>
      </c>
      <c r="H12" s="70"/>
      <c r="I12" s="11"/>
      <c r="J12" s="36"/>
      <c r="K12" s="36"/>
      <c r="L12" s="36"/>
      <c r="M12" s="36"/>
      <c r="N12" s="36"/>
      <c r="O12" s="11"/>
    </row>
    <row r="13" spans="1:15" ht="9.75">
      <c r="A13" s="17" t="s">
        <v>26</v>
      </c>
      <c r="B13" s="1" t="str">
        <f>"Total Eligible "&amp;B4&amp;" FY23"</f>
        <v>Total Eligible First Class Presort Letters, Cards and Flats FY23</v>
      </c>
      <c r="C13" s="12">
        <f>'Presort Letters'!C13+'Presort Cards'!C13+Flats!C13</f>
        <v>7555354037.8672695</v>
      </c>
      <c r="D13" s="13">
        <f>'Presort Letters'!D13+'Presort Cards'!D13+Flats!D13</f>
        <v>7680562929.894296</v>
      </c>
      <c r="E13" s="13">
        <f>'Presort Letters'!E13+'Presort Cards'!E13+Flats!E13</f>
        <v>6771817062.841543</v>
      </c>
      <c r="F13" s="13">
        <f>'Presort Letters'!F13+'Presort Cards'!F13+Flats!F13</f>
        <v>6686948353.683338</v>
      </c>
      <c r="G13" s="13">
        <f>SUM(C13:F13)</f>
        <v>28694682384.28645</v>
      </c>
      <c r="H13" s="97" t="str">
        <f>"= a * "&amp;ROUND(Inputs!C14,2)*100&amp;"%"</f>
        <v>= a * 86%</v>
      </c>
      <c r="I13" s="11"/>
      <c r="J13" s="11"/>
      <c r="K13" s="11"/>
      <c r="L13" s="11"/>
      <c r="M13" s="11"/>
      <c r="N13" s="11"/>
      <c r="O13" s="11"/>
    </row>
    <row r="14" spans="1:8" ht="9.75">
      <c r="A14" s="17" t="s">
        <v>27</v>
      </c>
      <c r="B14" s="1" t="str">
        <f>"Total Participating "&amp;B4&amp;" FY23"</f>
        <v>Total Participating First Class Presort Letters, Cards and Flats FY23</v>
      </c>
      <c r="C14" s="12">
        <f>'Presort Letters'!C14+'Presort Cards'!C14+Flats!C14</f>
        <v>2153275900.792172</v>
      </c>
      <c r="D14" s="13">
        <f>'Presort Letters'!D14+'Presort Cards'!D14+Flats!D14</f>
        <v>2188960435.019874</v>
      </c>
      <c r="E14" s="13">
        <f>'Presort Letters'!E14+'Presort Cards'!E14+Flats!E14</f>
        <v>1929967862.9098399</v>
      </c>
      <c r="F14" s="13">
        <f>'Presort Letters'!F14+'Presort Cards'!F14+Flats!F14</f>
        <v>1905780280.7997513</v>
      </c>
      <c r="G14" s="13">
        <f>SUM(C14:F14)</f>
        <v>8177984479.521637</v>
      </c>
      <c r="H14" s="69" t="str">
        <f>"= b * "&amp;ROUND(Inputs!C15,2)*100&amp;"%"</f>
        <v>= b * 29%</v>
      </c>
    </row>
    <row r="15" spans="1:8" ht="9.75">
      <c r="A15" s="17" t="s">
        <v>28</v>
      </c>
      <c r="B15" s="1" t="str">
        <f>"Total Threshold"&amp;" FY23"</f>
        <v>Total Threshold FY23</v>
      </c>
      <c r="C15" s="12">
        <f>'Presort Letters'!C15+'Presort Cards'!C15+Flats!C15</f>
        <v>2153275900.792172</v>
      </c>
      <c r="D15" s="13">
        <f>'Presort Letters'!D15+'Presort Cards'!D15+Flats!D15</f>
        <v>2188960435.019874</v>
      </c>
      <c r="E15" s="13">
        <f>'Presort Letters'!E15+'Presort Cards'!E15+Flats!E15</f>
        <v>1929967862.9098399</v>
      </c>
      <c r="F15" s="13">
        <f>'Presort Letters'!F15+'Presort Cards'!F15+Flats!F15</f>
        <v>1905780280.7997513</v>
      </c>
      <c r="G15" s="13">
        <f>SUM(C15:F15)</f>
        <v>8177984479.521637</v>
      </c>
      <c r="H15" s="69" t="str">
        <f>"= c * "&amp;Inputs!C8*100&amp;"%"</f>
        <v>= c * 100%</v>
      </c>
    </row>
    <row r="16" spans="1:9" ht="9.75">
      <c r="A16" s="17" t="s">
        <v>29</v>
      </c>
      <c r="B16" s="1" t="s">
        <v>67</v>
      </c>
      <c r="C16" s="12">
        <f>'Presort Letters'!C16+'Presort Cards'!C16+Flats!C16</f>
        <v>2344486800.7825165</v>
      </c>
      <c r="D16" s="13">
        <f>'Presort Letters'!D16+'Presort Cards'!D16+Flats!D16</f>
        <v>2383340121.649639</v>
      </c>
      <c r="E16" s="13">
        <f>'Presort Letters'!E16+'Presort Cards'!E16+Flats!E16</f>
        <v>2101349009.1362336</v>
      </c>
      <c r="F16" s="13">
        <f>'Presort Letters'!F16+'Presort Cards'!F16+Flats!F16</f>
        <v>2075013569.7347693</v>
      </c>
      <c r="G16" s="13">
        <f>SUM(C16:F16)</f>
        <v>8904189501.303158</v>
      </c>
      <c r="H16" s="70"/>
      <c r="I16" s="45"/>
    </row>
    <row r="17" spans="3:8" ht="9.75">
      <c r="C17" s="12"/>
      <c r="D17" s="13"/>
      <c r="E17" s="13"/>
      <c r="F17" s="13"/>
      <c r="G17" s="13"/>
      <c r="H17" s="70"/>
    </row>
    <row r="18" spans="2:8" ht="9.75">
      <c r="B18" s="5" t="s">
        <v>21</v>
      </c>
      <c r="C18" s="12"/>
      <c r="D18" s="13"/>
      <c r="E18" s="13"/>
      <c r="F18" s="13"/>
      <c r="G18" s="13"/>
      <c r="H18" s="70"/>
    </row>
    <row r="19" spans="1:15" ht="9.75">
      <c r="A19" s="17" t="s">
        <v>30</v>
      </c>
      <c r="B19" s="1" t="s">
        <v>104</v>
      </c>
      <c r="C19" s="12">
        <f>'Presort Letters'!C19+'Presort Cards'!C19+Flats!C19</f>
        <v>796712083.2931036</v>
      </c>
      <c r="D19" s="13">
        <f>'Presort Letters'!D19+'Presort Cards'!D19+Flats!D19</f>
        <v>809915360.9573534</v>
      </c>
      <c r="E19" s="13">
        <f>'Presort Letters'!E19+'Presort Cards'!E19+Flats!E19</f>
        <v>714088109.2766408</v>
      </c>
      <c r="F19" s="13">
        <f>'Presort Letters'!F19+'Presort Cards'!F19+Flats!F19</f>
        <v>705138703.895908</v>
      </c>
      <c r="G19" s="13">
        <f>SUM(C19:F19)</f>
        <v>3025854257.4230056</v>
      </c>
      <c r="H19" s="69" t="str">
        <f>"= c * "&amp;Inputs!C16*100&amp;"%"</f>
        <v>= c * 37%</v>
      </c>
      <c r="I19" s="45"/>
      <c r="J19" s="45"/>
      <c r="O19" s="45"/>
    </row>
    <row r="20" spans="1:8" ht="9.75">
      <c r="A20" s="17" t="s">
        <v>31</v>
      </c>
      <c r="B20" s="1" t="s">
        <v>6</v>
      </c>
      <c r="C20" s="12">
        <f>'Presort Letters'!C20+'Presort Cards'!C20+Flats!C20</f>
        <v>796712083.2931036</v>
      </c>
      <c r="D20" s="13">
        <f>'Presort Letters'!D20+'Presort Cards'!D20+Flats!D20</f>
        <v>809915360.9573534</v>
      </c>
      <c r="E20" s="13">
        <f>'Presort Letters'!E20+'Presort Cards'!E20+Flats!E20</f>
        <v>714088109.2766408</v>
      </c>
      <c r="F20" s="13">
        <f>'Presort Letters'!F20+'Presort Cards'!F20+Flats!F20</f>
        <v>705138703.895908</v>
      </c>
      <c r="G20" s="13">
        <f>SUM(C20:F20)</f>
        <v>3025854257.4230056</v>
      </c>
      <c r="H20" s="69" t="str">
        <f>"= f * "&amp;Inputs!C8*100&amp;"%"</f>
        <v>= f * 100%</v>
      </c>
    </row>
    <row r="21" spans="1:9" ht="9.75">
      <c r="A21" s="17" t="s">
        <v>32</v>
      </c>
      <c r="B21" s="1" t="s">
        <v>68</v>
      </c>
      <c r="C21" s="12">
        <f>'Presort Letters'!C21+'Presort Cards'!C21+Flats!C21</f>
        <v>987922983.2834482</v>
      </c>
      <c r="D21" s="13">
        <f>'Presort Letters'!D21+'Presort Cards'!D21+Flats!D21</f>
        <v>1004295047.5871183</v>
      </c>
      <c r="E21" s="13">
        <f>'Presort Letters'!E21+'Presort Cards'!E21+Flats!E21</f>
        <v>885469255.5030345</v>
      </c>
      <c r="F21" s="13">
        <f>'Presort Letters'!F21+'Presort Cards'!F21+Flats!F21</f>
        <v>874371992.8309258</v>
      </c>
      <c r="G21" s="13">
        <f>SUM(C21:F21)</f>
        <v>3752059279.204527</v>
      </c>
      <c r="H21" s="71" t="str">
        <f>"= g * (1+"&amp;Inputs!C18*100&amp;"%)"</f>
        <v>= g * (1+24%)</v>
      </c>
      <c r="I21" s="45"/>
    </row>
    <row r="22" spans="1:9" ht="9.75">
      <c r="A22" s="17" t="s">
        <v>33</v>
      </c>
      <c r="B22" s="43" t="s">
        <v>15</v>
      </c>
      <c r="C22" s="12">
        <f>'Presort Letters'!C22+'Presort Cards'!C22+Flats!C22</f>
        <v>191210899.9903448</v>
      </c>
      <c r="D22" s="13">
        <f>'Presort Letters'!D22+'Presort Cards'!D22+Flats!D22</f>
        <v>194379686.62976485</v>
      </c>
      <c r="E22" s="13">
        <f>'Presort Letters'!E22+'Presort Cards'!E22+Flats!E22</f>
        <v>171381146.22639376</v>
      </c>
      <c r="F22" s="13">
        <f>'Presort Letters'!F22+'Presort Cards'!F22+Flats!F22</f>
        <v>169233288.93501788</v>
      </c>
      <c r="G22" s="13">
        <f>SUM(C22:F22)</f>
        <v>726205021.7815213</v>
      </c>
      <c r="H22" s="71" t="str">
        <f>" = h - f"</f>
        <v> = h - f</v>
      </c>
      <c r="I22" s="45"/>
    </row>
    <row r="23" spans="1:9" ht="9.75">
      <c r="A23" s="17" t="s">
        <v>34</v>
      </c>
      <c r="B23" s="64" t="s">
        <v>10</v>
      </c>
      <c r="C23" s="51">
        <f>'Presort Letters'!C23+'Presort Cards'!C23+Flats!C23</f>
        <v>191210899.9903448</v>
      </c>
      <c r="D23" s="52">
        <f>'Presort Letters'!D23+'Presort Cards'!D23+Flats!D23</f>
        <v>194379686.62976485</v>
      </c>
      <c r="E23" s="52">
        <f>'Presort Letters'!E23+'Presort Cards'!E23+Flats!E23</f>
        <v>171381146.22639376</v>
      </c>
      <c r="F23" s="52">
        <f>'Presort Letters'!F23+'Presort Cards'!F23+Flats!F23</f>
        <v>169233288.93501788</v>
      </c>
      <c r="G23" s="52">
        <f>SUM(C23:F23)</f>
        <v>726205021.7815213</v>
      </c>
      <c r="H23" s="69" t="str">
        <f>"= i - f"</f>
        <v>= i - f</v>
      </c>
      <c r="I23" s="75"/>
    </row>
    <row r="24" spans="3:8" ht="9.75">
      <c r="C24" s="12"/>
      <c r="D24" s="13"/>
      <c r="E24" s="13"/>
      <c r="F24" s="13"/>
      <c r="G24" s="13"/>
      <c r="H24" s="70"/>
    </row>
    <row r="25" spans="2:8" ht="9.75">
      <c r="B25" s="5" t="s">
        <v>19</v>
      </c>
      <c r="C25" s="12"/>
      <c r="D25" s="13"/>
      <c r="E25" s="13"/>
      <c r="F25" s="13"/>
      <c r="G25" s="13"/>
      <c r="H25" s="70"/>
    </row>
    <row r="26" spans="1:9" ht="9.75">
      <c r="A26" s="17" t="s">
        <v>35</v>
      </c>
      <c r="B26" s="1" t="s">
        <v>85</v>
      </c>
      <c r="C26" s="10">
        <f>'Presort Letters'!C28+'Presort Cards'!C28+Flats!C28</f>
        <v>470931296.72622037</v>
      </c>
      <c r="D26" s="8">
        <f>'Presort Letters'!D28+'Presort Cards'!D28+Flats!D28</f>
        <v>479599467.14530915</v>
      </c>
      <c r="E26" s="8">
        <f>'Presort Letters'!E28+'Presort Cards'!E28+Flats!E28</f>
        <v>420985681.5624693</v>
      </c>
      <c r="F26" s="8">
        <f>'Presort Letters'!F28+'Presort Cards'!F28+Flats!F28</f>
        <v>415657694.9486291</v>
      </c>
      <c r="G26" s="8">
        <f>SUM(C26:F26)</f>
        <v>1787174140.382628</v>
      </c>
      <c r="H26" s="72"/>
      <c r="I26" s="96"/>
    </row>
    <row r="27" spans="1:12" ht="9.75">
      <c r="A27" s="17" t="s">
        <v>36</v>
      </c>
      <c r="B27" s="56" t="s">
        <v>24</v>
      </c>
      <c r="C27" s="10">
        <f>'Presort Letters'!C29+'Presort Cards'!C29+Flats!C29</f>
        <v>91147992.91475232</v>
      </c>
      <c r="D27" s="8">
        <f>'Presort Letters'!D29+'Presort Cards'!D29+Flats!D29</f>
        <v>92825703.31844693</v>
      </c>
      <c r="E27" s="8">
        <f>'Presort Letters'!E29+'Presort Cards'!E29+Flats!E29</f>
        <v>81481099.65725212</v>
      </c>
      <c r="F27" s="8">
        <f>'Presort Letters'!F29+'Presort Cards'!F29+Flats!F29</f>
        <v>80449876.44167013</v>
      </c>
      <c r="G27" s="8">
        <f>SUM(C27:F27)</f>
        <v>345904672.3321215</v>
      </c>
      <c r="H27" s="72"/>
      <c r="I27" s="16"/>
      <c r="J27" s="16"/>
      <c r="K27" s="16"/>
      <c r="L27" s="16"/>
    </row>
    <row r="28" spans="1:9" ht="9.75">
      <c r="A28" s="17" t="s">
        <v>37</v>
      </c>
      <c r="B28" s="64" t="s">
        <v>20</v>
      </c>
      <c r="C28" s="49">
        <f>'Presort Letters'!C30+'Presort Cards'!C30+Flats!C30</f>
        <v>27344397.87442569</v>
      </c>
      <c r="D28" s="50">
        <f>'Presort Letters'!D30+'Presort Cards'!D30+Flats!D30</f>
        <v>27847710.995534077</v>
      </c>
      <c r="E28" s="50">
        <f>'Presort Letters'!E30+'Presort Cards'!E30+Flats!E30</f>
        <v>24444329.897175632</v>
      </c>
      <c r="F28" s="50">
        <f>'Presort Letters'!F30+'Presort Cards'!F30+Flats!F30</f>
        <v>24134962.932501037</v>
      </c>
      <c r="G28" s="50">
        <f>SUM(C28:F28)</f>
        <v>103771401.69963644</v>
      </c>
      <c r="H28" s="70"/>
      <c r="I28" s="45"/>
    </row>
    <row r="29" spans="1:9" ht="9.75">
      <c r="A29" s="17" t="s">
        <v>38</v>
      </c>
      <c r="B29" s="56" t="s">
        <v>41</v>
      </c>
      <c r="C29" s="10">
        <f>'Presort Letters'!C31+'Presort Cards'!C31+Flats!C31</f>
        <v>63803595.040326625</v>
      </c>
      <c r="D29" s="8">
        <f>'Presort Letters'!D31+'Presort Cards'!D31+Flats!D31</f>
        <v>64977992.322912864</v>
      </c>
      <c r="E29" s="8">
        <f>'Presort Letters'!E31+'Presort Cards'!E31+Flats!E31</f>
        <v>57036769.76007649</v>
      </c>
      <c r="F29" s="8">
        <f>'Presort Letters'!F31+'Presort Cards'!F31+Flats!F31</f>
        <v>56314913.50916909</v>
      </c>
      <c r="G29" s="8">
        <f>SUM(C29:F29)</f>
        <v>242133270.6324851</v>
      </c>
      <c r="H29" s="73" t="s">
        <v>16</v>
      </c>
      <c r="I29" s="67"/>
    </row>
    <row r="30" spans="3:8" ht="9.75">
      <c r="C30" s="9"/>
      <c r="D30" s="7"/>
      <c r="E30" s="7"/>
      <c r="F30" s="7"/>
      <c r="G30" s="7"/>
      <c r="H30" s="70"/>
    </row>
    <row r="31" spans="2:8" ht="9.75">
      <c r="B31" s="5" t="s">
        <v>23</v>
      </c>
      <c r="C31" s="9"/>
      <c r="D31" s="7"/>
      <c r="E31" s="7"/>
      <c r="F31" s="7"/>
      <c r="G31" s="7"/>
      <c r="H31" s="70"/>
    </row>
    <row r="32" spans="1:9" ht="9.75">
      <c r="A32" s="17" t="s">
        <v>39</v>
      </c>
      <c r="B32" s="1" t="s">
        <v>43</v>
      </c>
      <c r="C32" s="10">
        <f>'Presort Letters'!C36+'Presort Cards'!C36+Flats!C36</f>
        <v>32183336.230434526</v>
      </c>
      <c r="D32" s="8">
        <f>'Presort Letters'!D36+'Presort Cards'!D36+Flats!D36</f>
        <v>32356487.418282006</v>
      </c>
      <c r="E32" s="8">
        <f>'Presort Letters'!E36+'Presort Cards'!E36+Flats!E36</f>
        <v>28334974.533759315</v>
      </c>
      <c r="F32" s="8">
        <f>'Presort Letters'!F36+'Presort Cards'!F36+Flats!F36</f>
        <v>27911332.25744787</v>
      </c>
      <c r="G32" s="8">
        <f>SUM(C32:F32)</f>
        <v>120786130.43992372</v>
      </c>
      <c r="H32" s="70"/>
      <c r="I32" s="96"/>
    </row>
    <row r="33" spans="1:9" ht="9.75">
      <c r="A33" s="17" t="s">
        <v>40</v>
      </c>
      <c r="B33" s="1" t="s">
        <v>45</v>
      </c>
      <c r="C33" s="10">
        <f>'Presort Letters'!C37+'Presort Cards'!C37+Flats!C37</f>
        <v>31620258.8098921</v>
      </c>
      <c r="D33" s="8">
        <f>'Presort Letters'!D37+'Presort Cards'!D37+Flats!D37</f>
        <v>32621504.904630855</v>
      </c>
      <c r="E33" s="8">
        <f>'Presort Letters'!E37+'Presort Cards'!E37+Flats!E37</f>
        <v>28701795.22631717</v>
      </c>
      <c r="F33" s="8">
        <f>'Presort Letters'!F37+'Presort Cards'!F37+Flats!F37</f>
        <v>28403581.25172122</v>
      </c>
      <c r="G33" s="8">
        <f>SUM(C33:F33)</f>
        <v>121347140.19256134</v>
      </c>
      <c r="H33" s="69" t="s">
        <v>14</v>
      </c>
      <c r="I33" s="67"/>
    </row>
    <row r="34" spans="3:8" ht="9.75">
      <c r="C34" s="10"/>
      <c r="D34" s="7"/>
      <c r="E34" s="7"/>
      <c r="F34" s="7"/>
      <c r="G34" s="11"/>
      <c r="H34" s="35"/>
    </row>
    <row r="35" ht="9.75">
      <c r="C35" s="45"/>
    </row>
    <row r="36" ht="9.75">
      <c r="C36" s="45"/>
    </row>
    <row r="37" ht="9.75">
      <c r="B37" s="53"/>
    </row>
    <row r="38" ht="9.75">
      <c r="B38" s="16"/>
    </row>
    <row r="40" ht="9.75">
      <c r="B40" s="53"/>
    </row>
  </sheetData>
  <sheetProtection/>
  <printOptions/>
  <pageMargins left="0.75" right="0.75" top="1" bottom="1" header="0.5" footer="0.5"/>
  <pageSetup horizontalDpi="200" verticalDpi="200" orientation="landscape" scale="70" r:id="rId1"/>
  <headerFooter alignWithMargins="0">
    <oddFooter>&amp;LDate Printed: &amp;D&amp;C&amp;A&amp;R&amp;P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28" customWidth="1"/>
    <col min="2" max="2" width="40.57421875" style="130" bestFit="1" customWidth="1"/>
    <col min="3" max="5" width="15.421875" style="130" customWidth="1"/>
    <col min="6" max="6" width="15.00390625" style="130" bestFit="1" customWidth="1"/>
    <col min="7" max="7" width="11.8515625" style="130" bestFit="1" customWidth="1"/>
    <col min="8" max="8" width="9.140625" style="130" customWidth="1"/>
    <col min="9" max="9" width="10.421875" style="130" bestFit="1" customWidth="1"/>
    <col min="10" max="16384" width="9.140625" style="130" customWidth="1"/>
  </cols>
  <sheetData>
    <row r="2" ht="19.5">
      <c r="B2" s="129" t="str">
        <f>'Summary Financials'!B2</f>
        <v>CY2024 First-Class Mail Incentive Program</v>
      </c>
    </row>
    <row r="3" ht="12.75">
      <c r="B3" s="131" t="s">
        <v>129</v>
      </c>
    </row>
    <row r="4" ht="9.75">
      <c r="B4" s="132" t="str">
        <f>'Summary Financials'!B4</f>
        <v>First Class Presort Letters, Cards and Flats</v>
      </c>
    </row>
    <row r="5" spans="2:9" ht="9.75">
      <c r="B5" s="132"/>
      <c r="H5" s="133"/>
      <c r="I5" s="133"/>
    </row>
    <row r="6" ht="9.75">
      <c r="B6" s="132"/>
    </row>
    <row r="7" ht="9.75">
      <c r="B7" s="132"/>
    </row>
    <row r="8" spans="2:6" ht="10.5">
      <c r="B8" s="134"/>
      <c r="F8" s="134"/>
    </row>
    <row r="9" spans="3:5" ht="10.5">
      <c r="C9" s="135" t="s">
        <v>130</v>
      </c>
      <c r="D9" s="136"/>
      <c r="E9" s="137"/>
    </row>
    <row r="10" spans="2:11" ht="21">
      <c r="B10" s="138" t="s">
        <v>1</v>
      </c>
      <c r="C10" s="146" t="s">
        <v>141</v>
      </c>
      <c r="D10" s="146" t="s">
        <v>131</v>
      </c>
      <c r="E10" s="146" t="s">
        <v>136</v>
      </c>
      <c r="F10" s="139"/>
      <c r="G10" s="140"/>
      <c r="H10" s="140"/>
      <c r="I10" s="140"/>
      <c r="J10" s="140"/>
      <c r="K10" s="140"/>
    </row>
    <row r="11" spans="1:11" ht="9.75">
      <c r="A11" s="128" t="s">
        <v>25</v>
      </c>
      <c r="B11" s="130" t="s">
        <v>132</v>
      </c>
      <c r="C11" s="141">
        <f>D11*0.75</f>
        <v>544.653766336141</v>
      </c>
      <c r="D11" s="141">
        <f>'Summary Financials'!G23/'Summary Range'!$B$17</f>
        <v>726.2050217815213</v>
      </c>
      <c r="E11" s="141">
        <f>D11*1.25</f>
        <v>907.7562772269016</v>
      </c>
      <c r="G11" s="147"/>
      <c r="H11" s="147"/>
      <c r="I11" s="147"/>
      <c r="J11" s="133"/>
      <c r="K11" s="133"/>
    </row>
    <row r="12" spans="1:9" ht="9.75">
      <c r="A12" s="128" t="s">
        <v>26</v>
      </c>
      <c r="B12" s="130" t="s">
        <v>19</v>
      </c>
      <c r="C12" s="142">
        <f>D12*0.75</f>
        <v>259.42850424909113</v>
      </c>
      <c r="D12" s="142">
        <f>'Summary Financials'!G27/'Summary Range'!$B$17</f>
        <v>345.9046723321215</v>
      </c>
      <c r="E12" s="142">
        <f>D12*1.25</f>
        <v>432.38084041515185</v>
      </c>
      <c r="G12" s="148"/>
      <c r="H12" s="148"/>
      <c r="I12" s="148"/>
    </row>
    <row r="13" spans="1:9" ht="9.75">
      <c r="A13" s="128" t="s">
        <v>27</v>
      </c>
      <c r="B13" s="130" t="s">
        <v>133</v>
      </c>
      <c r="C13" s="142">
        <f>D13*0.75</f>
        <v>77.82855127472733</v>
      </c>
      <c r="D13" s="142">
        <f>'Summary Financials'!G28/'Summary Range'!$B$17</f>
        <v>103.77140169963644</v>
      </c>
      <c r="E13" s="142">
        <f>D13*1.25</f>
        <v>129.71425212454557</v>
      </c>
      <c r="G13" s="148"/>
      <c r="H13" s="148"/>
      <c r="I13" s="148"/>
    </row>
    <row r="14" spans="1:9" ht="9.75">
      <c r="A14" s="128" t="s">
        <v>28</v>
      </c>
      <c r="B14" s="130" t="s">
        <v>134</v>
      </c>
      <c r="C14" s="143">
        <f>D14*0.75</f>
        <v>91.010355144421</v>
      </c>
      <c r="D14" s="143">
        <f>'Summary Financials'!G33/'Summary Range'!$B$17</f>
        <v>121.34714019256134</v>
      </c>
      <c r="E14" s="143">
        <f>D14*1.25</f>
        <v>151.68392524070168</v>
      </c>
      <c r="F14" s="144"/>
      <c r="G14" s="148"/>
      <c r="H14" s="148"/>
      <c r="I14" s="148"/>
    </row>
    <row r="16" ht="9.75">
      <c r="B16" s="130" t="s">
        <v>135</v>
      </c>
    </row>
    <row r="17" ht="9.75">
      <c r="B17" s="144">
        <v>1000000</v>
      </c>
    </row>
    <row r="18" ht="9.75">
      <c r="B18" s="145"/>
    </row>
    <row r="20" ht="9.75">
      <c r="B20" s="144"/>
    </row>
  </sheetData>
  <sheetProtection/>
  <printOptions/>
  <pageMargins left="0.75" right="0.75" top="1" bottom="1" header="0.5" footer="0.5"/>
  <pageSetup horizontalDpi="200" verticalDpi="200" orientation="landscape" scale="70" r:id="rId1"/>
  <headerFooter alignWithMargins="0">
    <oddFooter>&amp;LDate Printed: &amp;D&amp;C&amp;A&amp;R&amp;P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First-Class Mail Incentive Program</v>
      </c>
    </row>
    <row r="3" ht="12.75">
      <c r="B3" s="3" t="s">
        <v>9</v>
      </c>
    </row>
    <row r="4" spans="2:3" ht="9.75">
      <c r="B4" s="99" t="s">
        <v>91</v>
      </c>
      <c r="C4" s="11"/>
    </row>
    <row r="5" ht="9.75">
      <c r="B5" s="4"/>
    </row>
    <row r="6" ht="9.75">
      <c r="B6" s="4"/>
    </row>
    <row r="7" ht="9.75">
      <c r="B7" s="4"/>
    </row>
    <row r="8" spans="2:9" ht="10.5">
      <c r="B8" s="6"/>
      <c r="C8" s="66" t="s">
        <v>97</v>
      </c>
      <c r="D8" s="66" t="s">
        <v>98</v>
      </c>
      <c r="E8" s="66" t="s">
        <v>99</v>
      </c>
      <c r="F8" s="66" t="s">
        <v>100</v>
      </c>
      <c r="I8" s="6"/>
    </row>
    <row r="9" spans="3:7" ht="10.5">
      <c r="C9" s="59" t="str">
        <f>B4&amp;" Financials"</f>
        <v>Presort Letters Financials</v>
      </c>
      <c r="D9" s="57"/>
      <c r="E9" s="57"/>
      <c r="F9" s="58"/>
      <c r="G9" s="60"/>
    </row>
    <row r="10" spans="2:15" ht="10.5">
      <c r="B10" s="41" t="s">
        <v>1</v>
      </c>
      <c r="C10" s="120" t="s">
        <v>59</v>
      </c>
      <c r="D10" s="121" t="s">
        <v>60</v>
      </c>
      <c r="E10" s="121" t="s">
        <v>61</v>
      </c>
      <c r="F10" s="121" t="s">
        <v>62</v>
      </c>
      <c r="G10" s="121" t="s">
        <v>48</v>
      </c>
      <c r="I10" s="22"/>
      <c r="J10" s="35"/>
      <c r="K10" s="35"/>
      <c r="L10" s="35"/>
      <c r="M10" s="35"/>
      <c r="N10" s="35"/>
      <c r="O10" s="11"/>
    </row>
    <row r="11" spans="2:15" ht="10.5">
      <c r="B11" s="63" t="s">
        <v>18</v>
      </c>
      <c r="C11" s="61"/>
      <c r="D11" s="14"/>
      <c r="E11" s="14"/>
      <c r="F11" s="14"/>
      <c r="G11" s="14"/>
      <c r="I11" s="22"/>
      <c r="J11" s="35"/>
      <c r="K11" s="35"/>
      <c r="L11" s="35"/>
      <c r="M11" s="35"/>
      <c r="N11" s="35"/>
      <c r="O11" s="11"/>
    </row>
    <row r="12" spans="1:15" ht="9.75">
      <c r="A12" s="17">
        <v>1</v>
      </c>
      <c r="B12" s="1" t="str">
        <f>"Total "&amp;B4&amp;" FY23"</f>
        <v>Total Presort Letters FY23</v>
      </c>
      <c r="C12" s="65">
        <f>VLOOKUP($B$4,'RPW Vol and Rev'!$B$8:$H$14,MATCH('Presort Letters'!C$8,'RPW Vol and Rev'!$B$8:$H$8,FALSE),FALSE)</f>
        <v>7910331792</v>
      </c>
      <c r="D12" s="19">
        <f>VLOOKUP($B$4,'RPW Vol and Rev'!$K$8:$P$14,MATCH('Presort Letters'!D$8,'RPW Vol and Rev'!$K$8:$P$8,FALSE),FALSE)</f>
        <v>8229254542</v>
      </c>
      <c r="E12" s="20">
        <f>VLOOKUP($B$4,'RPW Vol and Rev'!$K$8:$P$14,MATCH('Presort Letters'!E$8,'RPW Vol and Rev'!$K$8:$P$8,FALSE),FALSE)</f>
        <v>7148896686.699994</v>
      </c>
      <c r="F12" s="20">
        <f>VLOOKUP($B$4,'RPW Vol and Rev'!$K$8:$P$14,MATCH('Presort Letters'!F$8,'RPW Vol and Rev'!$K$8:$P$8,FALSE),FALSE)</f>
        <v>7075801571.949645</v>
      </c>
      <c r="G12" s="13">
        <f>SUM(C12:F12)</f>
        <v>30364284592.64964</v>
      </c>
      <c r="I12" s="11"/>
      <c r="J12" s="36"/>
      <c r="K12" s="36"/>
      <c r="L12" s="36"/>
      <c r="M12" s="36"/>
      <c r="N12" s="36"/>
      <c r="O12" s="11"/>
    </row>
    <row r="13" spans="1:15" ht="9.75">
      <c r="A13" s="17">
        <f>A12+1</f>
        <v>2</v>
      </c>
      <c r="B13" s="1" t="str">
        <f>"Eligible "&amp;B4&amp;" FY23"</f>
        <v>Eligible Presort Letters FY23</v>
      </c>
      <c r="C13" s="12">
        <f>C12*Inputs!$C$14</f>
        <v>6804396503.682206</v>
      </c>
      <c r="D13" s="13">
        <f>D12*Inputs!$C$14</f>
        <v>7078730994.586797</v>
      </c>
      <c r="E13" s="13">
        <f>E12*Inputs!$C$14</f>
        <v>6149416851.1821575</v>
      </c>
      <c r="F13" s="13">
        <f>F12*Inputs!$C$14</f>
        <v>6086541088.657691</v>
      </c>
      <c r="G13" s="13">
        <f>SUM(C13:F13)</f>
        <v>26119085438.108852</v>
      </c>
      <c r="I13" s="11"/>
      <c r="J13" s="11"/>
      <c r="K13" s="11"/>
      <c r="L13" s="11"/>
      <c r="M13" s="11"/>
      <c r="N13" s="11"/>
      <c r="O13" s="11"/>
    </row>
    <row r="14" spans="1:7" ht="9.75">
      <c r="A14" s="17">
        <f>A13+1</f>
        <v>3</v>
      </c>
      <c r="B14" s="1" t="str">
        <f>"Participating "&amp;B4&amp;" FY23"</f>
        <v>Participating Presort Letters FY23</v>
      </c>
      <c r="C14" s="12">
        <f>C13*Inputs!$C$15</f>
        <v>1939253003.5494287</v>
      </c>
      <c r="D14" s="13">
        <f>D13*Inputs!$C$15</f>
        <v>2017438333.457237</v>
      </c>
      <c r="E14" s="13">
        <f>E13*Inputs!$C$15</f>
        <v>1752583802.5869148</v>
      </c>
      <c r="F14" s="13">
        <f>F13*Inputs!$C$15</f>
        <v>1734664210.2674417</v>
      </c>
      <c r="G14" s="13">
        <f>SUM(C14:F14)</f>
        <v>7443939349.861022</v>
      </c>
    </row>
    <row r="15" spans="1:7" ht="9.75">
      <c r="A15" s="17">
        <f>A14+1</f>
        <v>4</v>
      </c>
      <c r="B15" s="1" t="str">
        <f>"Threshold"&amp;" FY23"</f>
        <v>Threshold FY23</v>
      </c>
      <c r="C15" s="12">
        <f>C14*Inputs!$C$8</f>
        <v>1939253003.5494287</v>
      </c>
      <c r="D15" s="13">
        <f>D14*Inputs!$C$8</f>
        <v>2017438333.457237</v>
      </c>
      <c r="E15" s="13">
        <f>E14*Inputs!$C$8</f>
        <v>1752583802.5869148</v>
      </c>
      <c r="F15" s="13">
        <f>F14*Inputs!$C$8</f>
        <v>1734664210.2674417</v>
      </c>
      <c r="G15" s="13">
        <f>SUM(C15:F15)</f>
        <v>7443939349.861022</v>
      </c>
    </row>
    <row r="16" spans="1:7" ht="9.75">
      <c r="A16" s="17">
        <f>A15+1</f>
        <v>5</v>
      </c>
      <c r="B16" s="1" t="s">
        <v>68</v>
      </c>
      <c r="C16" s="12">
        <f>C15+C23</f>
        <v>2111458670.264618</v>
      </c>
      <c r="D16" s="13">
        <f>D15+D23</f>
        <v>2196586857.46824</v>
      </c>
      <c r="E16" s="13">
        <f>E15+E23</f>
        <v>1908213244.2566328</v>
      </c>
      <c r="F16" s="13">
        <f>F15+F23</f>
        <v>1888702392.1391907</v>
      </c>
      <c r="G16" s="13">
        <f>SUM(C16:F16)</f>
        <v>8104961164.128681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21</v>
      </c>
      <c r="C18" s="9"/>
      <c r="D18" s="7"/>
      <c r="E18" s="7"/>
      <c r="F18" s="7"/>
      <c r="G18" s="7"/>
    </row>
    <row r="19" spans="1:8" ht="9.75">
      <c r="A19" s="17">
        <f>A16+1</f>
        <v>6</v>
      </c>
      <c r="B19" s="1" t="str">
        <f>"Base Year Volume"&amp;" FY23"</f>
        <v>Base Year Volume FY23</v>
      </c>
      <c r="C19" s="12">
        <f>C14*Inputs!$C$16</f>
        <v>717523611.3132886</v>
      </c>
      <c r="D19" s="13">
        <f>D14*Inputs!$C$16</f>
        <v>746452183.3791777</v>
      </c>
      <c r="E19" s="13">
        <f>E14*Inputs!$C$16</f>
        <v>648456006.9571584</v>
      </c>
      <c r="F19" s="13">
        <f>F14*Inputs!$C$16</f>
        <v>641825757.7989534</v>
      </c>
      <c r="G19" s="13">
        <f>SUM(C19:F19)</f>
        <v>2754257559.4485784</v>
      </c>
      <c r="H19" s="45"/>
    </row>
    <row r="20" spans="1:7" ht="9.75">
      <c r="A20" s="17">
        <f>A19+1</f>
        <v>7</v>
      </c>
      <c r="B20" s="1" t="s">
        <v>6</v>
      </c>
      <c r="C20" s="12">
        <f>C19*Inputs!$C$8</f>
        <v>717523611.3132886</v>
      </c>
      <c r="D20" s="13">
        <f>D19*Inputs!$C$8</f>
        <v>746452183.3791777</v>
      </c>
      <c r="E20" s="13">
        <f>E19*Inputs!$C$8</f>
        <v>648456006.9571584</v>
      </c>
      <c r="F20" s="13">
        <f>F19*Inputs!$C$8</f>
        <v>641825757.7989534</v>
      </c>
      <c r="G20" s="13">
        <f>SUM(C20:F20)</f>
        <v>2754257559.4485784</v>
      </c>
    </row>
    <row r="21" spans="1:9" ht="9.75">
      <c r="A21" s="17">
        <f>A20+1</f>
        <v>8</v>
      </c>
      <c r="B21" s="1" t="s">
        <v>68</v>
      </c>
      <c r="C21" s="12">
        <f>C20*(1+Inputs!$C$18)</f>
        <v>889729278.0284778</v>
      </c>
      <c r="D21" s="12">
        <f>D20*(1+Inputs!$C$18)</f>
        <v>925600707.3901803</v>
      </c>
      <c r="E21" s="12">
        <f>E20*(1+Inputs!$C$18)</f>
        <v>804085448.6268765</v>
      </c>
      <c r="F21" s="12">
        <f>F20*(1+Inputs!$C$18)</f>
        <v>795863939.6707022</v>
      </c>
      <c r="G21" s="13">
        <f>SUM(C21:F21)</f>
        <v>3415279373.716237</v>
      </c>
      <c r="I21" s="53"/>
    </row>
    <row r="22" spans="1:9" ht="9.75">
      <c r="A22" s="17">
        <f>A21+1</f>
        <v>9</v>
      </c>
      <c r="B22" s="1" t="s">
        <v>13</v>
      </c>
      <c r="C22" s="12">
        <f>C21-C19</f>
        <v>172205666.71518922</v>
      </c>
      <c r="D22" s="13">
        <f>D21-D19</f>
        <v>179148524.01100266</v>
      </c>
      <c r="E22" s="13">
        <f>E21-E19</f>
        <v>155629441.66971803</v>
      </c>
      <c r="F22" s="13">
        <f>F21-F19</f>
        <v>154038181.8717488</v>
      </c>
      <c r="G22" s="13">
        <f>SUM(C22:F22)</f>
        <v>661021814.2676587</v>
      </c>
      <c r="I22" s="53"/>
    </row>
    <row r="23" spans="1:9" ht="9.75">
      <c r="A23" s="17">
        <f>A22+1</f>
        <v>10</v>
      </c>
      <c r="B23" s="48" t="s">
        <v>10</v>
      </c>
      <c r="C23" s="51">
        <f>C21-C20</f>
        <v>172205666.71518922</v>
      </c>
      <c r="D23" s="52">
        <f>D21-D20</f>
        <v>179148524.01100266</v>
      </c>
      <c r="E23" s="52">
        <f>E21-E20</f>
        <v>155629441.66971803</v>
      </c>
      <c r="F23" s="52">
        <f>F21-F20</f>
        <v>154038181.8717488</v>
      </c>
      <c r="G23" s="52">
        <f>SUM(C23:F23)</f>
        <v>661021814.2676587</v>
      </c>
      <c r="I23" s="53"/>
    </row>
    <row r="24" spans="3:7" ht="9.75">
      <c r="C24" s="34"/>
      <c r="D24" s="13"/>
      <c r="E24" s="13"/>
      <c r="F24" s="13"/>
      <c r="G24" s="13"/>
    </row>
    <row r="25" spans="2:7" ht="9.75">
      <c r="B25" s="53"/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19</v>
      </c>
      <c r="C27" s="12"/>
      <c r="D27" s="13"/>
      <c r="E27" s="13"/>
      <c r="F27" s="13"/>
      <c r="G27" s="13"/>
    </row>
    <row r="28" spans="1:9" ht="9.75">
      <c r="A28" s="17">
        <f>A23+1</f>
        <v>11</v>
      </c>
      <c r="B28" s="1" t="s">
        <v>85</v>
      </c>
      <c r="C28" s="10">
        <f>C21*(C29/C23)</f>
        <v>423880224.08873934</v>
      </c>
      <c r="D28" s="8">
        <f>D21*(D29/D23)</f>
        <v>440969905.0644116</v>
      </c>
      <c r="E28" s="8">
        <f>E21*(E29/E23)</f>
        <v>383078233.53380275</v>
      </c>
      <c r="F28" s="8">
        <f>F21*(F29/F23)</f>
        <v>379161384.72962165</v>
      </c>
      <c r="G28" s="8">
        <f>SUM(C28:F28)</f>
        <v>1627089747.4165752</v>
      </c>
      <c r="I28" s="96"/>
    </row>
    <row r="29" spans="1:9" ht="9.75">
      <c r="A29" s="17">
        <f>A28+1</f>
        <v>12</v>
      </c>
      <c r="B29" s="1" t="s">
        <v>24</v>
      </c>
      <c r="C29" s="10">
        <f>VLOOKUP($B$4,Inputs!$B$28:$C$30,2,FALSE)*C23</f>
        <v>82041333.6945947</v>
      </c>
      <c r="D29" s="8">
        <f>VLOOKUP($B$4,Inputs!$B$28:$C$30,2,FALSE)*D23</f>
        <v>85349013.8834345</v>
      </c>
      <c r="E29" s="8">
        <f>VLOOKUP($B$4,Inputs!$B$28:$C$30,2,FALSE)*E23</f>
        <v>74144174.23234892</v>
      </c>
      <c r="F29" s="8">
        <f>VLOOKUP($B$4,Inputs!$B$28:$C$30,2,FALSE)*F23</f>
        <v>73386074.46379773</v>
      </c>
      <c r="G29" s="8">
        <f>SUM(C29:F29)</f>
        <v>314920596.2741759</v>
      </c>
      <c r="I29" s="96"/>
    </row>
    <row r="30" spans="1:7" ht="9.75">
      <c r="A30" s="17">
        <f>A29+1</f>
        <v>13</v>
      </c>
      <c r="B30" s="64" t="s">
        <v>20</v>
      </c>
      <c r="C30" s="49">
        <f>VLOOKUP($B$4,Inputs!$B$21:$C$25,2,FALSE)*C29</f>
        <v>24612400.108378407</v>
      </c>
      <c r="D30" s="50">
        <f>VLOOKUP($B$4,Inputs!$B$21:$C$25,2,FALSE)*D29</f>
        <v>25604704.16503035</v>
      </c>
      <c r="E30" s="50">
        <f>VLOOKUP($B$4,Inputs!$B$21:$C$25,2,FALSE)*E29</f>
        <v>22243252.269704673</v>
      </c>
      <c r="F30" s="50">
        <f>VLOOKUP($B$4,Inputs!$B$21:$C$25,2,FALSE)*F29</f>
        <v>22015822.33913932</v>
      </c>
      <c r="G30" s="50">
        <f>SUM(C30:F30)</f>
        <v>94476178.88225275</v>
      </c>
    </row>
    <row r="31" spans="1:7" ht="9.75">
      <c r="A31" s="17">
        <f>A30+1</f>
        <v>14</v>
      </c>
      <c r="B31" s="1" t="s">
        <v>41</v>
      </c>
      <c r="C31" s="10">
        <f>C29-C30</f>
        <v>57428933.586216286</v>
      </c>
      <c r="D31" s="8">
        <f>D29-D30</f>
        <v>59744309.71840416</v>
      </c>
      <c r="E31" s="8">
        <f>E29-E30</f>
        <v>51900921.96264425</v>
      </c>
      <c r="F31" s="8">
        <f>F29-F30</f>
        <v>51370252.12465841</v>
      </c>
      <c r="G31" s="8">
        <f>SUM(C31:F31)</f>
        <v>220444417.3919231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44</v>
      </c>
      <c r="C35" s="9"/>
      <c r="D35" s="7"/>
      <c r="E35" s="7"/>
      <c r="F35" s="7"/>
      <c r="G35" s="7"/>
    </row>
    <row r="36" spans="1:9" ht="9.75">
      <c r="A36" s="17">
        <f>A31+1</f>
        <v>15</v>
      </c>
      <c r="B36" s="1" t="s">
        <v>11</v>
      </c>
      <c r="C36" s="10">
        <f>C23*VLOOKUP($B$4,Inputs!$B$34:$C$37,2,FALSE)</f>
        <v>26362860.911591444</v>
      </c>
      <c r="D36" s="8">
        <f>D23*VLOOKUP($B$4,Inputs!$B$34:$C$37,2,FALSE)</f>
        <v>27425738.71758883</v>
      </c>
      <c r="E36" s="8">
        <f>E23*VLOOKUP($B$4,Inputs!$B$34:$C$37,2,FALSE)</f>
        <v>23825216.68856048</v>
      </c>
      <c r="F36" s="8">
        <f>F23*VLOOKUP($B$4,Inputs!$B$34:$C$37,2,FALSE)</f>
        <v>23581611.692695558</v>
      </c>
      <c r="G36" s="8">
        <f>G23*VLOOKUP($B$4,Inputs!$B$34:$C$37,2,FALSE)</f>
        <v>101195428.01043631</v>
      </c>
      <c r="I36" s="96"/>
    </row>
    <row r="37" spans="1:7" ht="9.75">
      <c r="A37" s="17">
        <f>A36+1</f>
        <v>16</v>
      </c>
      <c r="B37" s="1" t="s">
        <v>12</v>
      </c>
      <c r="C37" s="10">
        <f>C31-C36</f>
        <v>31066072.67462484</v>
      </c>
      <c r="D37" s="10">
        <f>D31-D36</f>
        <v>32318571.00081533</v>
      </c>
      <c r="E37" s="10">
        <f>E31-E36</f>
        <v>28075705.27408377</v>
      </c>
      <c r="F37" s="10">
        <f>F31-F36</f>
        <v>27788640.431962855</v>
      </c>
      <c r="G37" s="8">
        <f>G31-G36</f>
        <v>119248989.38148679</v>
      </c>
    </row>
    <row r="38" spans="3:7" ht="9.75">
      <c r="C38" s="10"/>
      <c r="D38" s="10"/>
      <c r="E38" s="10"/>
      <c r="F38" s="10"/>
      <c r="G38" s="8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First-Class Mail Incentive Program</v>
      </c>
    </row>
    <row r="3" ht="12.75">
      <c r="B3" s="3" t="s">
        <v>9</v>
      </c>
    </row>
    <row r="4" ht="9.75">
      <c r="B4" s="1" t="s">
        <v>92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6" t="s">
        <v>97</v>
      </c>
      <c r="D8" s="66" t="s">
        <v>98</v>
      </c>
      <c r="E8" s="66" t="s">
        <v>99</v>
      </c>
      <c r="F8" s="66" t="s">
        <v>100</v>
      </c>
      <c r="I8" s="6"/>
    </row>
    <row r="9" spans="3:7" ht="10.5">
      <c r="C9" s="59" t="str">
        <f>B4&amp;" Financials"</f>
        <v>Presort Cards Financials</v>
      </c>
      <c r="D9" s="57"/>
      <c r="E9" s="57"/>
      <c r="F9" s="58"/>
      <c r="G9" s="60"/>
    </row>
    <row r="10" spans="2:15" ht="10.5">
      <c r="B10" s="41" t="s">
        <v>1</v>
      </c>
      <c r="C10" s="120" t="s">
        <v>59</v>
      </c>
      <c r="D10" s="121" t="s">
        <v>60</v>
      </c>
      <c r="E10" s="121" t="s">
        <v>61</v>
      </c>
      <c r="F10" s="121" t="s">
        <v>62</v>
      </c>
      <c r="G10" s="121" t="s">
        <v>48</v>
      </c>
      <c r="I10" s="22"/>
      <c r="J10" s="35"/>
      <c r="K10" s="35"/>
      <c r="L10" s="35"/>
      <c r="M10" s="35"/>
      <c r="N10" s="35"/>
      <c r="O10" s="11"/>
    </row>
    <row r="11" spans="2:15" ht="10.5">
      <c r="B11" s="63" t="s">
        <v>18</v>
      </c>
      <c r="C11" s="61"/>
      <c r="D11" s="14"/>
      <c r="E11" s="14"/>
      <c r="F11" s="14"/>
      <c r="G11" s="14"/>
      <c r="I11" s="22"/>
      <c r="J11" s="35"/>
      <c r="K11" s="35"/>
      <c r="L11" s="35"/>
      <c r="M11" s="35"/>
      <c r="N11" s="35"/>
      <c r="O11" s="11"/>
    </row>
    <row r="12" spans="1:15" ht="9.75">
      <c r="A12" s="17">
        <v>1</v>
      </c>
      <c r="B12" s="1" t="str">
        <f>"Total "&amp;B4&amp;" FY23"</f>
        <v>Total Presort Cards FY23</v>
      </c>
      <c r="C12" s="65">
        <f>VLOOKUP($B$4,'RPW Vol and Rev'!$B$8:$H$14,MATCH('Presort Letters'!C$8,'RPW Vol and Rev'!$B$8:$H$8,FALSE),FALSE)</f>
        <v>741642768</v>
      </c>
      <c r="D12" s="19">
        <f>VLOOKUP($B$4,'RPW Vol and Rev'!$K$8:$P$14,MATCH('Presort Letters'!D$8,'RPW Vol and Rev'!$K$8:$P$8,FALSE),FALSE)</f>
        <v>585146619</v>
      </c>
      <c r="E12" s="20">
        <f>VLOOKUP($B$4,'RPW Vol and Rev'!$K$8:$P$14,MATCH('Presort Letters'!E$8,'RPW Vol and Rev'!$K$8:$P$8,FALSE),FALSE)</f>
        <v>625570281.9259665</v>
      </c>
      <c r="F12" s="20">
        <f>VLOOKUP($B$4,'RPW Vol and Rev'!$K$8:$P$14,MATCH('Presort Letters'!F$8,'RPW Vol and Rev'!$K$8:$P$8,FALSE),FALSE)</f>
        <v>604181919.2323985</v>
      </c>
      <c r="G12" s="13">
        <f>SUM(C12:F12)</f>
        <v>2556541588.1583652</v>
      </c>
      <c r="I12" s="11"/>
      <c r="J12" s="36"/>
      <c r="K12" s="36"/>
      <c r="L12" s="36"/>
      <c r="M12" s="36"/>
      <c r="N12" s="36"/>
      <c r="O12" s="11"/>
    </row>
    <row r="13" spans="1:15" ht="9.75">
      <c r="A13" s="17">
        <f>A12+1</f>
        <v>2</v>
      </c>
      <c r="B13" s="1" t="str">
        <f>"Eligible "&amp;B4&amp;" FY23"</f>
        <v>Eligible Presort Cards FY23</v>
      </c>
      <c r="C13" s="12">
        <f>C12*Inputs!$C$14</f>
        <v>637954461.3620417</v>
      </c>
      <c r="D13" s="13">
        <f>D12*Inputs!$C$14</f>
        <v>503337876.7363168</v>
      </c>
      <c r="E13" s="13">
        <f>E12*Inputs!$C$14</f>
        <v>538109949.2500957</v>
      </c>
      <c r="F13" s="13">
        <f>F12*Inputs!$C$14</f>
        <v>519711871.3744261</v>
      </c>
      <c r="G13" s="13">
        <f>SUM(C13:F13)</f>
        <v>2199114158.7228804</v>
      </c>
      <c r="I13" s="11"/>
      <c r="J13" s="11"/>
      <c r="K13" s="11"/>
      <c r="L13" s="11"/>
      <c r="M13" s="11"/>
      <c r="N13" s="11"/>
      <c r="O13" s="11"/>
    </row>
    <row r="14" spans="1:7" ht="9.75">
      <c r="A14" s="17">
        <f>A13+1</f>
        <v>3</v>
      </c>
      <c r="B14" s="1" t="str">
        <f>"Participating "&amp;B4&amp;" FY23"</f>
        <v>Participating Presort Cards FY23</v>
      </c>
      <c r="C14" s="12">
        <f>C13*Inputs!$C$15</f>
        <v>181817021.48818186</v>
      </c>
      <c r="D14" s="13">
        <f>D13*Inputs!$C$15</f>
        <v>143451294.86985028</v>
      </c>
      <c r="E14" s="13">
        <f>E13*Inputs!$C$15</f>
        <v>153361335.53627726</v>
      </c>
      <c r="F14" s="13">
        <f>F13*Inputs!$C$15</f>
        <v>148117883.34171143</v>
      </c>
      <c r="G14" s="13">
        <f>SUM(C14:F14)</f>
        <v>626747535.2360208</v>
      </c>
    </row>
    <row r="15" spans="1:7" ht="9.75">
      <c r="A15" s="17">
        <f>A14+1</f>
        <v>4</v>
      </c>
      <c r="B15" s="1" t="str">
        <f>"Threshold"&amp;" FY23"</f>
        <v>Threshold FY23</v>
      </c>
      <c r="C15" s="12">
        <f>C14*Inputs!$C$8</f>
        <v>181817021.48818186</v>
      </c>
      <c r="D15" s="13">
        <f>D14*Inputs!$C$8</f>
        <v>143451294.86985028</v>
      </c>
      <c r="E15" s="13">
        <f>E14*Inputs!$C$8</f>
        <v>153361335.53627726</v>
      </c>
      <c r="F15" s="13">
        <f>F14*Inputs!$C$8</f>
        <v>148117883.34171143</v>
      </c>
      <c r="G15" s="13">
        <f>SUM(C15:F15)</f>
        <v>626747535.2360208</v>
      </c>
    </row>
    <row r="16" spans="1:7" ht="9.75">
      <c r="A16" s="17">
        <f>A15+1</f>
        <v>5</v>
      </c>
      <c r="B16" s="1" t="s">
        <v>68</v>
      </c>
      <c r="C16" s="12">
        <f>C15+C23</f>
        <v>197962372.9963324</v>
      </c>
      <c r="D16" s="13">
        <f>D15+D23</f>
        <v>156189769.854293</v>
      </c>
      <c r="E16" s="13">
        <f>E15+E23</f>
        <v>166979822.1318987</v>
      </c>
      <c r="F16" s="13">
        <f>F15+F23</f>
        <v>161270751.3824554</v>
      </c>
      <c r="G16" s="13">
        <f>SUM(C16:F16)</f>
        <v>682402716.3649795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21</v>
      </c>
      <c r="C18" s="9"/>
      <c r="D18" s="7"/>
      <c r="E18" s="7"/>
      <c r="F18" s="7"/>
      <c r="G18" s="7"/>
    </row>
    <row r="19" spans="1:7" ht="9.75">
      <c r="A19" s="17">
        <f>A16+1</f>
        <v>6</v>
      </c>
      <c r="B19" s="1" t="str">
        <f>"Base Year Volume"&amp;" FY23"</f>
        <v>Base Year Volume FY23</v>
      </c>
      <c r="C19" s="12">
        <f>C14*Inputs!$C$16</f>
        <v>67272297.95062728</v>
      </c>
      <c r="D19" s="13">
        <f>D14*Inputs!$C$16</f>
        <v>53076979.1018446</v>
      </c>
      <c r="E19" s="13">
        <f>E14*Inputs!$C$16</f>
        <v>56743694.148422584</v>
      </c>
      <c r="F19" s="13">
        <f>F14*Inputs!$C$16</f>
        <v>54803616.83643323</v>
      </c>
      <c r="G19" s="13">
        <f>SUM(C19:F19)</f>
        <v>231896588.0373277</v>
      </c>
    </row>
    <row r="20" spans="1:7" ht="9.75">
      <c r="A20" s="17">
        <f>A19+1</f>
        <v>7</v>
      </c>
      <c r="B20" s="1" t="s">
        <v>6</v>
      </c>
      <c r="C20" s="12">
        <f>C19*Inputs!$C$8</f>
        <v>67272297.95062728</v>
      </c>
      <c r="D20" s="13">
        <f>D19*Inputs!$C$8</f>
        <v>53076979.1018446</v>
      </c>
      <c r="E20" s="13">
        <f>E19*Inputs!$C$8</f>
        <v>56743694.148422584</v>
      </c>
      <c r="F20" s="13">
        <f>F19*Inputs!$C$8</f>
        <v>54803616.83643323</v>
      </c>
      <c r="G20" s="13">
        <f>SUM(C20:F20)</f>
        <v>231896588.0373277</v>
      </c>
    </row>
    <row r="21" spans="1:7" ht="9.75">
      <c r="A21" s="17">
        <f>A20+1</f>
        <v>8</v>
      </c>
      <c r="B21" s="1" t="s">
        <v>68</v>
      </c>
      <c r="C21" s="12">
        <f>C20*(1+Inputs!$C$18)</f>
        <v>83417649.45877783</v>
      </c>
      <c r="D21" s="12">
        <f>D20*(1+Inputs!$C$18)</f>
        <v>65815454.086287305</v>
      </c>
      <c r="E21" s="12">
        <f>E20*(1+Inputs!$C$18)</f>
        <v>70362180.744044</v>
      </c>
      <c r="F21" s="12">
        <f>F20*(1+Inputs!$C$18)</f>
        <v>67956484.87717721</v>
      </c>
      <c r="G21" s="13">
        <f>SUM(C21:F21)</f>
        <v>287551769.16628635</v>
      </c>
    </row>
    <row r="22" spans="1:7" ht="9.75">
      <c r="A22" s="17">
        <f>A21+1</f>
        <v>9</v>
      </c>
      <c r="B22" s="1" t="s">
        <v>13</v>
      </c>
      <c r="C22" s="12">
        <f>C21-C19</f>
        <v>16145351.508150548</v>
      </c>
      <c r="D22" s="13">
        <f>D21-D19</f>
        <v>12738474.984442703</v>
      </c>
      <c r="E22" s="13">
        <f>E21-E19</f>
        <v>13618486.595621422</v>
      </c>
      <c r="F22" s="13">
        <f>F21-F19</f>
        <v>13152868.040743977</v>
      </c>
      <c r="G22" s="13">
        <f>SUM(C22:F22)</f>
        <v>55655181.12895865</v>
      </c>
    </row>
    <row r="23" spans="1:7" ht="9.75">
      <c r="A23" s="17">
        <f>A22+1</f>
        <v>10</v>
      </c>
      <c r="B23" s="48" t="s">
        <v>10</v>
      </c>
      <c r="C23" s="51">
        <f>C21-C20</f>
        <v>16145351.508150548</v>
      </c>
      <c r="D23" s="52">
        <f>D21-D20</f>
        <v>12738474.984442703</v>
      </c>
      <c r="E23" s="52">
        <f>E21-E20</f>
        <v>13618486.595621422</v>
      </c>
      <c r="F23" s="52">
        <f>F21-F20</f>
        <v>13152868.040743977</v>
      </c>
      <c r="G23" s="52">
        <f>SUM(C23:F23)</f>
        <v>55655181.12895865</v>
      </c>
    </row>
    <row r="24" spans="3:7" ht="9.75">
      <c r="C24" s="34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19</v>
      </c>
      <c r="C27" s="12"/>
      <c r="D27" s="13"/>
      <c r="E27" s="13"/>
      <c r="F27" s="13"/>
      <c r="G27" s="13"/>
    </row>
    <row r="28" spans="1:7" ht="9.75">
      <c r="A28" s="17">
        <f>A23+1</f>
        <v>11</v>
      </c>
      <c r="B28" s="1" t="s">
        <v>85</v>
      </c>
      <c r="C28" s="10">
        <f>C21*(C29/C23)</f>
        <v>28812063.645118244</v>
      </c>
      <c r="D28" s="8">
        <f>D21*(D29/D23)</f>
        <v>22732348.181346733</v>
      </c>
      <c r="E28" s="8">
        <f>E21*(E29/E23)</f>
        <v>24302766.176701277</v>
      </c>
      <c r="F28" s="8">
        <f>F21*(F29/F23)</f>
        <v>23471850.14302406</v>
      </c>
      <c r="G28" s="8">
        <f>SUM(C28:F28)</f>
        <v>99319028.14619032</v>
      </c>
    </row>
    <row r="29" spans="1:8" ht="9.75">
      <c r="A29" s="17">
        <f>A28+1</f>
        <v>12</v>
      </c>
      <c r="B29" s="1" t="s">
        <v>24</v>
      </c>
      <c r="C29" s="10">
        <f>VLOOKUP($B$4,Inputs!$B$28:$C$30,2,FALSE)*C23</f>
        <v>5576528.447442241</v>
      </c>
      <c r="D29" s="8">
        <f>VLOOKUP($B$4,Inputs!$B$28:$C$30,2,FALSE)*D23</f>
        <v>4399809.325421948</v>
      </c>
      <c r="E29" s="8">
        <f>VLOOKUP($B$4,Inputs!$B$28:$C$30,2,FALSE)*E23</f>
        <v>4703761.19549057</v>
      </c>
      <c r="F29" s="8">
        <f>VLOOKUP($B$4,Inputs!$B$28:$C$30,2,FALSE)*F23</f>
        <v>4542938.737359496</v>
      </c>
      <c r="G29" s="8">
        <f>SUM(C29:F29)</f>
        <v>19223037.705714256</v>
      </c>
      <c r="H29" s="96"/>
    </row>
    <row r="30" spans="1:7" ht="9.75">
      <c r="A30" s="17">
        <f>A29+1</f>
        <v>13</v>
      </c>
      <c r="B30" s="64" t="s">
        <v>20</v>
      </c>
      <c r="C30" s="49">
        <f>VLOOKUP($B$4,Inputs!$B$21:$C$25,2,FALSE)*C29</f>
        <v>1672958.5342326723</v>
      </c>
      <c r="D30" s="50">
        <f>VLOOKUP($B$4,Inputs!$B$21:$C$25,2,FALSE)*D29</f>
        <v>1319942.7976265843</v>
      </c>
      <c r="E30" s="50">
        <f>VLOOKUP($B$4,Inputs!$B$21:$C$25,2,FALSE)*E29</f>
        <v>1411128.358647171</v>
      </c>
      <c r="F30" s="50">
        <f>VLOOKUP($B$4,Inputs!$B$21:$C$25,2,FALSE)*F29</f>
        <v>1362881.6212078487</v>
      </c>
      <c r="G30" s="50">
        <f>SUM(C30:F30)</f>
        <v>5766911.311714277</v>
      </c>
    </row>
    <row r="31" spans="1:7" ht="9.75">
      <c r="A31" s="17">
        <f>A30+1</f>
        <v>14</v>
      </c>
      <c r="B31" s="1" t="s">
        <v>41</v>
      </c>
      <c r="C31" s="10">
        <f>C29-C30</f>
        <v>3903569.9132095687</v>
      </c>
      <c r="D31" s="8">
        <f>D29-D30</f>
        <v>3079866.5277953637</v>
      </c>
      <c r="E31" s="8">
        <f>E29-E30</f>
        <v>3292632.836843399</v>
      </c>
      <c r="F31" s="8">
        <f>F29-F30</f>
        <v>3180057.116151647</v>
      </c>
      <c r="G31" s="8">
        <f>SUM(C31:F31)</f>
        <v>13456126.393999979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44</v>
      </c>
      <c r="C35" s="9"/>
      <c r="D35" s="7"/>
      <c r="E35" s="7"/>
      <c r="F35" s="7"/>
      <c r="G35" s="7"/>
    </row>
    <row r="36" spans="1:8" ht="9.75">
      <c r="A36" s="17">
        <f>A31+1</f>
        <v>15</v>
      </c>
      <c r="B36" s="1" t="s">
        <v>11</v>
      </c>
      <c r="C36" s="10">
        <f>C23*VLOOKUP($B$4,Inputs!$B$34:$C$37,2,FALSE)</f>
        <v>1723686.293584796</v>
      </c>
      <c r="D36" s="8">
        <f>D23*VLOOKUP($B$4,Inputs!$B$34:$C$37,2,FALSE)</f>
        <v>1359966.3482564758</v>
      </c>
      <c r="E36" s="8">
        <f>E23*VLOOKUP($B$4,Inputs!$B$34:$C$37,2,FALSE)</f>
        <v>1453916.8547919625</v>
      </c>
      <c r="F36" s="8">
        <f>F23*VLOOKUP($B$4,Inputs!$B$34:$C$37,2,FALSE)</f>
        <v>1404207.1708203345</v>
      </c>
      <c r="G36" s="8">
        <f>G23*VLOOKUP($B$4,Inputs!$B$34:$C$37,2,FALSE)</f>
        <v>5941776.667453568</v>
      </c>
      <c r="H36" s="96"/>
    </row>
    <row r="37" spans="1:7" ht="9.75">
      <c r="A37" s="17">
        <f>A36+1</f>
        <v>16</v>
      </c>
      <c r="B37" s="1" t="s">
        <v>12</v>
      </c>
      <c r="C37" s="10">
        <f>C31-C36</f>
        <v>2179883.619624773</v>
      </c>
      <c r="D37" s="10">
        <f>D31-D36</f>
        <v>1719900.179538888</v>
      </c>
      <c r="E37" s="10">
        <f>E31-E36</f>
        <v>1838715.9820514363</v>
      </c>
      <c r="F37" s="10">
        <f>F31-F36</f>
        <v>1775849.9453313127</v>
      </c>
      <c r="G37" s="8">
        <f>G31-G36</f>
        <v>7514349.7265464105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40.57421875" style="1" customWidth="1"/>
    <col min="3" max="7" width="13.57421875" style="1" customWidth="1"/>
    <col min="8" max="8" width="9.421875" style="1" bestFit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First-Class Mail Incentive Program</v>
      </c>
    </row>
    <row r="3" ht="12.75">
      <c r="B3" s="3" t="s">
        <v>9</v>
      </c>
    </row>
    <row r="4" spans="2:3" ht="9.75">
      <c r="B4" s="126" t="s">
        <v>121</v>
      </c>
      <c r="C4" s="11"/>
    </row>
    <row r="5" ht="9.75">
      <c r="B5" s="4"/>
    </row>
    <row r="6" ht="9.75">
      <c r="B6" s="4"/>
    </row>
    <row r="7" ht="9.75">
      <c r="B7" s="4"/>
    </row>
    <row r="8" spans="2:9" ht="10.5">
      <c r="B8" s="6"/>
      <c r="C8" s="66" t="s">
        <v>97</v>
      </c>
      <c r="D8" s="66" t="s">
        <v>98</v>
      </c>
      <c r="E8" s="66" t="s">
        <v>99</v>
      </c>
      <c r="F8" s="66" t="s">
        <v>100</v>
      </c>
      <c r="I8" s="6"/>
    </row>
    <row r="9" spans="3:7" ht="10.5">
      <c r="C9" s="59" t="str">
        <f>B4&amp;" Financials"</f>
        <v>Presort Flats Financials</v>
      </c>
      <c r="D9" s="57"/>
      <c r="E9" s="57"/>
      <c r="F9" s="58"/>
      <c r="G9" s="60"/>
    </row>
    <row r="10" spans="2:15" ht="10.5">
      <c r="B10" s="41" t="s">
        <v>1</v>
      </c>
      <c r="C10" s="120" t="s">
        <v>59</v>
      </c>
      <c r="D10" s="121" t="s">
        <v>60</v>
      </c>
      <c r="E10" s="121" t="s">
        <v>61</v>
      </c>
      <c r="F10" s="121" t="s">
        <v>62</v>
      </c>
      <c r="G10" s="121" t="s">
        <v>48</v>
      </c>
      <c r="I10" s="22"/>
      <c r="J10" s="35"/>
      <c r="K10" s="35"/>
      <c r="L10" s="35"/>
      <c r="M10" s="35"/>
      <c r="N10" s="35"/>
      <c r="O10" s="11"/>
    </row>
    <row r="11" spans="2:15" ht="10.5">
      <c r="B11" s="63" t="s">
        <v>18</v>
      </c>
      <c r="C11" s="61"/>
      <c r="D11" s="14"/>
      <c r="E11" s="14"/>
      <c r="F11" s="14"/>
      <c r="G11" s="14"/>
      <c r="I11" s="22"/>
      <c r="J11" s="35"/>
      <c r="K11" s="35"/>
      <c r="L11" s="35"/>
      <c r="M11" s="35"/>
      <c r="N11" s="35"/>
      <c r="O11" s="11"/>
    </row>
    <row r="12" spans="1:15" ht="9.75">
      <c r="A12" s="17">
        <v>1</v>
      </c>
      <c r="B12" s="1" t="str">
        <f>"Total "&amp;B4&amp;" FY23"</f>
        <v>Total Presort Flats FY23</v>
      </c>
      <c r="C12" s="65">
        <f>VLOOKUP($B$4,'RPW Vol and Rev'!$B$8:$H$14,MATCH('Presort Letters'!C$8,'RPW Vol and Rev'!$B$8:$H$8,FALSE),FALSE)</f>
        <v>131369739.99999999</v>
      </c>
      <c r="D12" s="19">
        <f>VLOOKUP($B$4,'RPW Vol and Rev'!$K$8:$P$14,MATCH('Presort Letters'!D$8,'RPW Vol and Rev'!$K$8:$P$8,FALSE),FALSE)</f>
        <v>114502540</v>
      </c>
      <c r="E12" s="20">
        <f>VLOOKUP($B$4,'RPW Vol and Rev'!$K$8:$P$14,MATCH('Presort Letters'!E$8,'RPW Vol and Rev'!$K$8:$P$8,FALSE),FALSE)</f>
        <v>97990165.93630536</v>
      </c>
      <c r="F12" s="20">
        <f>VLOOKUP($B$4,'RPW Vol and Rev'!$K$8:$P$14,MATCH('Presort Letters'!F$8,'RPW Vol and Rev'!$K$8:$P$8,FALSE),FALSE)</f>
        <v>93811014.3231337</v>
      </c>
      <c r="G12" s="13">
        <f>SUM(C12:F12)</f>
        <v>437673460.25943905</v>
      </c>
      <c r="I12" s="110"/>
      <c r="J12" s="36"/>
      <c r="K12" s="36"/>
      <c r="L12" s="36"/>
      <c r="M12" s="36"/>
      <c r="N12" s="36"/>
      <c r="O12" s="11"/>
    </row>
    <row r="13" spans="1:15" ht="9.75">
      <c r="A13" s="17">
        <f>A12+1</f>
        <v>2</v>
      </c>
      <c r="B13" s="1" t="str">
        <f>"Eligible "&amp;B4&amp;" FY23"</f>
        <v>Eligible Presort Flats FY23</v>
      </c>
      <c r="C13" s="12">
        <f>C12*Inputs!$C$14</f>
        <v>113003072.82302178</v>
      </c>
      <c r="D13" s="13">
        <f>D12*Inputs!$C$14</f>
        <v>98494058.57118212</v>
      </c>
      <c r="E13" s="13">
        <f>E12*Inputs!$C$14</f>
        <v>84290262.40929079</v>
      </c>
      <c r="F13" s="13">
        <f>F12*Inputs!$C$14</f>
        <v>80695393.6512215</v>
      </c>
      <c r="G13" s="13">
        <f>SUM(C13:F13)</f>
        <v>376482787.4547162</v>
      </c>
      <c r="I13" s="11"/>
      <c r="J13" s="11"/>
      <c r="K13" s="11"/>
      <c r="L13" s="11"/>
      <c r="M13" s="11"/>
      <c r="N13" s="11"/>
      <c r="O13" s="11"/>
    </row>
    <row r="14" spans="1:7" ht="9.75">
      <c r="A14" s="17">
        <f>A13+1</f>
        <v>3</v>
      </c>
      <c r="B14" s="1" t="str">
        <f>"Participating "&amp;B4&amp;" FY23"</f>
        <v>Participating Presort Flats FY23</v>
      </c>
      <c r="C14" s="12">
        <f>C13*Inputs!$C$15</f>
        <v>32205875.754561204</v>
      </c>
      <c r="D14" s="13">
        <f>D13*Inputs!$C$15</f>
        <v>28070806.692786902</v>
      </c>
      <c r="E14" s="13">
        <f>E13*Inputs!$C$15</f>
        <v>24022724.786647875</v>
      </c>
      <c r="F14" s="13">
        <f>F13*Inputs!$C$15</f>
        <v>22998187.190598127</v>
      </c>
      <c r="G14" s="13">
        <f>SUM(C14:F14)</f>
        <v>107297594.4245941</v>
      </c>
    </row>
    <row r="15" spans="1:7" ht="9.75">
      <c r="A15" s="17">
        <f>A14+1</f>
        <v>4</v>
      </c>
      <c r="B15" s="1" t="str">
        <f>"Threshold"&amp;" FY23"</f>
        <v>Threshold FY23</v>
      </c>
      <c r="C15" s="12">
        <f>C14*Inputs!$C$8</f>
        <v>32205875.754561204</v>
      </c>
      <c r="D15" s="13">
        <f>D14*Inputs!$C$8</f>
        <v>28070806.692786902</v>
      </c>
      <c r="E15" s="13">
        <f>E14*Inputs!$C$8</f>
        <v>24022724.786647875</v>
      </c>
      <c r="F15" s="13">
        <f>F14*Inputs!$C$8</f>
        <v>22998187.190598127</v>
      </c>
      <c r="G15" s="13">
        <f>SUM(C15:F15)</f>
        <v>107297594.4245941</v>
      </c>
    </row>
    <row r="16" spans="1:7" ht="9.75">
      <c r="A16" s="17">
        <f>A15+1</f>
        <v>5</v>
      </c>
      <c r="B16" s="1" t="s">
        <v>68</v>
      </c>
      <c r="C16" s="12">
        <f>C15+C23</f>
        <v>35065757.52156624</v>
      </c>
      <c r="D16" s="13">
        <f>D15+D23</f>
        <v>30563494.32710638</v>
      </c>
      <c r="E16" s="13">
        <f>E15+E23</f>
        <v>26155942.747702204</v>
      </c>
      <c r="F16" s="13">
        <f>F15+F23</f>
        <v>25040426.21312324</v>
      </c>
      <c r="G16" s="13">
        <f>SUM(C16:F16)</f>
        <v>116825620.80949807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21</v>
      </c>
      <c r="C18" s="9"/>
      <c r="D18" s="7"/>
      <c r="E18" s="7"/>
      <c r="F18" s="7"/>
      <c r="G18" s="7"/>
    </row>
    <row r="19" spans="1:7" ht="9.75">
      <c r="A19" s="17">
        <f>A16+1</f>
        <v>6</v>
      </c>
      <c r="B19" s="1" t="str">
        <f>"Base Year Volume"&amp;" FY23"</f>
        <v>Base Year Volume FY23</v>
      </c>
      <c r="C19" s="12">
        <f>C14*Inputs!$C$16</f>
        <v>11916174.029187646</v>
      </c>
      <c r="D19" s="13">
        <f>D14*Inputs!$C$16</f>
        <v>10386198.476331154</v>
      </c>
      <c r="E19" s="13">
        <f>E14*Inputs!$C$16</f>
        <v>8888408.171059713</v>
      </c>
      <c r="F19" s="13">
        <f>F14*Inputs!$C$16</f>
        <v>8509329.260521308</v>
      </c>
      <c r="G19" s="13">
        <f>SUM(C19:F19)</f>
        <v>39700109.93709982</v>
      </c>
    </row>
    <row r="20" spans="1:7" ht="9.75">
      <c r="A20" s="17">
        <f>A19+1</f>
        <v>7</v>
      </c>
      <c r="B20" s="1" t="s">
        <v>6</v>
      </c>
      <c r="C20" s="12">
        <f>C19*Inputs!$C$8</f>
        <v>11916174.029187646</v>
      </c>
      <c r="D20" s="13">
        <f>D19*Inputs!$C$8</f>
        <v>10386198.476331154</v>
      </c>
      <c r="E20" s="13">
        <f>E19*Inputs!$C$8</f>
        <v>8888408.171059713</v>
      </c>
      <c r="F20" s="13">
        <f>F19*Inputs!$C$8</f>
        <v>8509329.260521308</v>
      </c>
      <c r="G20" s="13">
        <f>SUM(C20:F20)</f>
        <v>39700109.93709982</v>
      </c>
    </row>
    <row r="21" spans="1:7" ht="9.75">
      <c r="A21" s="17">
        <f>A20+1</f>
        <v>8</v>
      </c>
      <c r="B21" s="1" t="s">
        <v>68</v>
      </c>
      <c r="C21" s="12">
        <f>C20*(1+Inputs!$C$18)</f>
        <v>14776055.796192681</v>
      </c>
      <c r="D21" s="12">
        <f>D20*(1+Inputs!$C$18)</f>
        <v>12878886.11065063</v>
      </c>
      <c r="E21" s="12">
        <f>E20*(1+Inputs!$C$18)</f>
        <v>11021626.132114043</v>
      </c>
      <c r="F21" s="12">
        <f>F20*(1+Inputs!$C$18)</f>
        <v>10551568.28304642</v>
      </c>
      <c r="G21" s="13">
        <f>SUM(C21:F21)</f>
        <v>49228136.32200378</v>
      </c>
    </row>
    <row r="22" spans="1:7" ht="9.75">
      <c r="A22" s="17">
        <f>A21+1</f>
        <v>9</v>
      </c>
      <c r="B22" s="1" t="s">
        <v>13</v>
      </c>
      <c r="C22" s="12">
        <f>C21-C19</f>
        <v>2859881.7670050357</v>
      </c>
      <c r="D22" s="13">
        <f>D21-D19</f>
        <v>2492687.634319477</v>
      </c>
      <c r="E22" s="13">
        <f>E21-E19</f>
        <v>2133217.9610543307</v>
      </c>
      <c r="F22" s="13">
        <f>F21-F19</f>
        <v>2042239.022525113</v>
      </c>
      <c r="G22" s="13">
        <f>SUM(C22:F22)</f>
        <v>9528026.384903956</v>
      </c>
    </row>
    <row r="23" spans="1:7" ht="9.75">
      <c r="A23" s="17">
        <f>A22+1</f>
        <v>10</v>
      </c>
      <c r="B23" s="48" t="s">
        <v>10</v>
      </c>
      <c r="C23" s="51">
        <f>C21-C20</f>
        <v>2859881.7670050357</v>
      </c>
      <c r="D23" s="52">
        <f>D21-D20</f>
        <v>2492687.634319477</v>
      </c>
      <c r="E23" s="52">
        <f>E21-E20</f>
        <v>2133217.9610543307</v>
      </c>
      <c r="F23" s="52">
        <f>F21-F20</f>
        <v>2042239.022525113</v>
      </c>
      <c r="G23" s="52">
        <f>SUM(C23:F23)</f>
        <v>9528026.384903956</v>
      </c>
    </row>
    <row r="24" spans="3:7" ht="9.75">
      <c r="C24" s="34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19</v>
      </c>
      <c r="C27" s="12"/>
      <c r="D27" s="13"/>
      <c r="E27" s="13"/>
      <c r="F27" s="13"/>
      <c r="G27" s="13"/>
    </row>
    <row r="28" spans="1:10" ht="9.75">
      <c r="A28" s="17">
        <f>A23+1</f>
        <v>11</v>
      </c>
      <c r="B28" s="1" t="s">
        <v>85</v>
      </c>
      <c r="C28" s="10">
        <f>C21*(C29/C23)</f>
        <v>18239008.992362782</v>
      </c>
      <c r="D28" s="8">
        <f>D21*(D29/D23)</f>
        <v>15897213.899550837</v>
      </c>
      <c r="E28" s="8">
        <f>E21*(E29/E23)</f>
        <v>13604681.85196526</v>
      </c>
      <c r="F28" s="8">
        <f>F21*(F29/F23)</f>
        <v>13024460.075983325</v>
      </c>
      <c r="G28" s="8">
        <f>SUM(C28:F28)</f>
        <v>60765364.81986221</v>
      </c>
      <c r="I28" s="53"/>
      <c r="J28" s="67"/>
    </row>
    <row r="29" spans="1:10" ht="9.75">
      <c r="A29" s="17">
        <f>A28+1</f>
        <v>12</v>
      </c>
      <c r="B29" s="1" t="s">
        <v>24</v>
      </c>
      <c r="C29" s="10">
        <f>VLOOKUP($B$4,Inputs!$B$28:$C$30,2,FALSE)*C23</f>
        <v>3530130.772715378</v>
      </c>
      <c r="D29" s="8">
        <f>VLOOKUP($B$4,Inputs!$B$28:$C$30,2,FALSE)*D23</f>
        <v>3076880.1095904843</v>
      </c>
      <c r="E29" s="8">
        <f>VLOOKUP($B$4,Inputs!$B$28:$C$30,2,FALSE)*E23</f>
        <v>2633164.2294126307</v>
      </c>
      <c r="F29" s="8">
        <f>VLOOKUP($B$4,Inputs!$B$28:$C$30,2,FALSE)*F23</f>
        <v>2520863.240512901</v>
      </c>
      <c r="G29" s="8">
        <f>SUM(C29:F29)</f>
        <v>11761038.352231394</v>
      </c>
      <c r="J29" s="67"/>
    </row>
    <row r="30" spans="1:10" ht="9.75">
      <c r="A30" s="17">
        <f>A29+1</f>
        <v>13</v>
      </c>
      <c r="B30" s="64" t="s">
        <v>20</v>
      </c>
      <c r="C30" s="49">
        <f>VLOOKUP($B$4,Inputs!$B$21:$C$25,2,FALSE)*C29</f>
        <v>1059039.2318146133</v>
      </c>
      <c r="D30" s="50">
        <f>VLOOKUP($B$4,Inputs!$B$21:$C$25,2,FALSE)*D29</f>
        <v>923064.0328771452</v>
      </c>
      <c r="E30" s="50">
        <f>VLOOKUP($B$4,Inputs!$B$21:$C$25,2,FALSE)*E29</f>
        <v>789949.2688237892</v>
      </c>
      <c r="F30" s="50">
        <f>VLOOKUP($B$4,Inputs!$B$21:$C$25,2,FALSE)*F29</f>
        <v>756258.9721538703</v>
      </c>
      <c r="G30" s="50">
        <f>SUM(C30:F30)</f>
        <v>3528311.505669418</v>
      </c>
      <c r="J30" s="67"/>
    </row>
    <row r="31" spans="1:10" ht="9.75">
      <c r="A31" s="17">
        <f>A30+1</f>
        <v>14</v>
      </c>
      <c r="B31" s="1" t="s">
        <v>41</v>
      </c>
      <c r="C31" s="10">
        <f>C29-C30</f>
        <v>2471091.540900765</v>
      </c>
      <c r="D31" s="8">
        <f>D29-D30</f>
        <v>2153816.076713339</v>
      </c>
      <c r="E31" s="8">
        <f>E29-E30</f>
        <v>1843214.9605888415</v>
      </c>
      <c r="F31" s="8">
        <f>F29-F30</f>
        <v>1764604.2683590306</v>
      </c>
      <c r="G31" s="8">
        <f>SUM(C31:F31)</f>
        <v>8232726.846561976</v>
      </c>
      <c r="J31" s="67"/>
    </row>
    <row r="32" spans="3:10" ht="9.75">
      <c r="C32" s="10"/>
      <c r="D32" s="8"/>
      <c r="E32" s="8"/>
      <c r="F32" s="8"/>
      <c r="G32" s="8"/>
      <c r="J32" s="67"/>
    </row>
    <row r="33" spans="3:10" ht="9.75">
      <c r="C33" s="9"/>
      <c r="D33" s="7"/>
      <c r="E33" s="7"/>
      <c r="F33" s="7"/>
      <c r="G33" s="7"/>
      <c r="J33" s="67"/>
    </row>
    <row r="34" spans="3:10" ht="9.75">
      <c r="C34" s="9"/>
      <c r="D34" s="7"/>
      <c r="E34" s="7"/>
      <c r="F34" s="7"/>
      <c r="G34" s="7"/>
      <c r="J34" s="67"/>
    </row>
    <row r="35" spans="2:10" ht="9.75">
      <c r="B35" s="5" t="s">
        <v>44</v>
      </c>
      <c r="C35" s="9"/>
      <c r="D35" s="7"/>
      <c r="E35" s="7"/>
      <c r="F35" s="7"/>
      <c r="G35" s="7"/>
      <c r="J35" s="67"/>
    </row>
    <row r="36" spans="1:10" ht="9.75">
      <c r="A36" s="17">
        <f>A31+1</f>
        <v>15</v>
      </c>
      <c r="B36" s="1" t="s">
        <v>11</v>
      </c>
      <c r="C36" s="10">
        <f>C23*VLOOKUP($B$4,Inputs!$B$34:$C$37,2,FALSE)</f>
        <v>4096789.0252582836</v>
      </c>
      <c r="D36" s="8">
        <f>D23*VLOOKUP($B$4,Inputs!$B$34:$C$37,2,FALSE)</f>
        <v>3570782.3524366994</v>
      </c>
      <c r="E36" s="8">
        <f>E23*VLOOKUP($B$4,Inputs!$B$34:$C$37,2,FALSE)</f>
        <v>3055840.990406876</v>
      </c>
      <c r="F36" s="8">
        <f>F23*VLOOKUP($B$4,Inputs!$B$34:$C$37,2,FALSE)</f>
        <v>2925513.3939319793</v>
      </c>
      <c r="G36" s="8">
        <f>G23*VLOOKUP($B$4,Inputs!$B$34:$C$37,2,FALSE)</f>
        <v>13648925.762033839</v>
      </c>
      <c r="H36" s="67"/>
      <c r="J36" s="67"/>
    </row>
    <row r="37" spans="1:10" ht="9.75">
      <c r="A37" s="17">
        <f>A36+1</f>
        <v>16</v>
      </c>
      <c r="B37" s="1" t="s">
        <v>12</v>
      </c>
      <c r="C37" s="10">
        <f>C31-C36</f>
        <v>-1625697.4843575186</v>
      </c>
      <c r="D37" s="10">
        <f>D31-D36</f>
        <v>-1416966.2757233605</v>
      </c>
      <c r="E37" s="10">
        <f>E31-E36</f>
        <v>-1212626.0298180345</v>
      </c>
      <c r="F37" s="10">
        <f>F31-F36</f>
        <v>-1160909.1255729487</v>
      </c>
      <c r="G37" s="8">
        <f>G31-G36</f>
        <v>-5416198.915471863</v>
      </c>
      <c r="J37" s="67"/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7" customWidth="1"/>
    <col min="2" max="2" width="18.421875" style="1" customWidth="1"/>
    <col min="3" max="9" width="13.57421875" style="1" customWidth="1"/>
    <col min="10" max="10" width="9.57421875" style="1" bestFit="1" customWidth="1"/>
    <col min="11" max="11" width="18.421875" style="1" customWidth="1"/>
    <col min="12" max="17" width="13.57421875" style="1" customWidth="1"/>
    <col min="18" max="18" width="9.140625" style="1" customWidth="1"/>
    <col min="19" max="19" width="18.421875" style="1" customWidth="1"/>
    <col min="20" max="25" width="13.57421875" style="1" customWidth="1"/>
    <col min="26" max="16384" width="9.140625" style="1" customWidth="1"/>
  </cols>
  <sheetData>
    <row r="2" spans="2:3" ht="19.5">
      <c r="B2" s="2" t="str">
        <f>Flats!B2</f>
        <v>CY2024 First-Class Mail Incentive Program</v>
      </c>
      <c r="C2" s="2"/>
    </row>
    <row r="3" spans="2:3" ht="12.75">
      <c r="B3" s="3" t="s">
        <v>105</v>
      </c>
      <c r="C3" s="3"/>
    </row>
    <row r="4" spans="2:3" ht="9.75">
      <c r="B4" s="4" t="s">
        <v>147</v>
      </c>
      <c r="C4" s="4"/>
    </row>
    <row r="5" spans="2:3" ht="9.75">
      <c r="B5" s="4"/>
      <c r="C5" s="4"/>
    </row>
    <row r="6" spans="2:3" ht="9.75">
      <c r="B6" s="4"/>
      <c r="C6" s="4"/>
    </row>
    <row r="7" spans="2:12" ht="9.75">
      <c r="B7" s="4"/>
      <c r="C7" s="119"/>
      <c r="D7" s="16"/>
      <c r="E7" s="16"/>
      <c r="F7" s="16"/>
      <c r="G7" s="16"/>
      <c r="L7" s="16"/>
    </row>
    <row r="8" spans="2:23" ht="10.5">
      <c r="B8" s="6"/>
      <c r="C8" s="122" t="s">
        <v>111</v>
      </c>
      <c r="D8" s="123" t="s">
        <v>112</v>
      </c>
      <c r="E8" s="124" t="s">
        <v>110</v>
      </c>
      <c r="F8" s="124" t="s">
        <v>109</v>
      </c>
      <c r="G8" s="121" t="s">
        <v>97</v>
      </c>
      <c r="L8" s="123" t="s">
        <v>98</v>
      </c>
      <c r="M8" s="124" t="s">
        <v>99</v>
      </c>
      <c r="N8" s="124" t="s">
        <v>100</v>
      </c>
      <c r="O8" s="121" t="s">
        <v>142</v>
      </c>
      <c r="P8" s="153"/>
      <c r="Q8" s="11"/>
      <c r="T8" s="123" t="s">
        <v>143</v>
      </c>
      <c r="U8" s="124" t="s">
        <v>144</v>
      </c>
      <c r="V8" s="124" t="s">
        <v>145</v>
      </c>
      <c r="W8" s="121" t="s">
        <v>146</v>
      </c>
    </row>
    <row r="9" spans="3:24" ht="10.5">
      <c r="C9" s="116"/>
      <c r="D9" s="59" t="s">
        <v>71</v>
      </c>
      <c r="E9" s="79"/>
      <c r="F9" s="79"/>
      <c r="G9" s="79"/>
      <c r="H9" s="80"/>
      <c r="L9" s="59" t="s">
        <v>75</v>
      </c>
      <c r="M9" s="79"/>
      <c r="N9" s="79"/>
      <c r="O9" s="79"/>
      <c r="P9" s="80"/>
      <c r="T9" s="59" t="s">
        <v>76</v>
      </c>
      <c r="U9" s="79"/>
      <c r="V9" s="79"/>
      <c r="W9" s="79"/>
      <c r="X9" s="80"/>
    </row>
    <row r="10" spans="2:25" ht="10.5">
      <c r="B10" s="5" t="s">
        <v>46</v>
      </c>
      <c r="C10" s="117"/>
      <c r="D10" s="76" t="s">
        <v>59</v>
      </c>
      <c r="E10" s="77" t="s">
        <v>60</v>
      </c>
      <c r="F10" s="77" t="s">
        <v>61</v>
      </c>
      <c r="G10" s="77" t="s">
        <v>62</v>
      </c>
      <c r="H10" s="77" t="s">
        <v>114</v>
      </c>
      <c r="I10" s="77" t="s">
        <v>49</v>
      </c>
      <c r="K10" s="5" t="s">
        <v>46</v>
      </c>
      <c r="L10" s="76" t="s">
        <v>59</v>
      </c>
      <c r="M10" s="77" t="s">
        <v>60</v>
      </c>
      <c r="N10" s="77" t="s">
        <v>61</v>
      </c>
      <c r="O10" s="77" t="s">
        <v>62</v>
      </c>
      <c r="P10" s="77" t="s">
        <v>115</v>
      </c>
      <c r="Q10" s="77" t="s">
        <v>49</v>
      </c>
      <c r="S10" s="5" t="s">
        <v>46</v>
      </c>
      <c r="T10" s="76" t="s">
        <v>59</v>
      </c>
      <c r="U10" s="77" t="s">
        <v>60</v>
      </c>
      <c r="V10" s="77" t="s">
        <v>61</v>
      </c>
      <c r="W10" s="77" t="s">
        <v>62</v>
      </c>
      <c r="X10" s="77" t="s">
        <v>116</v>
      </c>
      <c r="Y10" s="77" t="s">
        <v>49</v>
      </c>
    </row>
    <row r="11" spans="1:25" ht="9.75">
      <c r="A11" s="17">
        <v>1</v>
      </c>
      <c r="B11" s="1" t="s">
        <v>91</v>
      </c>
      <c r="C11" s="84">
        <v>8237462844</v>
      </c>
      <c r="D11" s="84">
        <v>8861953251</v>
      </c>
      <c r="E11" s="85">
        <v>7574045365</v>
      </c>
      <c r="F11" s="85">
        <v>7496603245</v>
      </c>
      <c r="G11" s="84">
        <f>7910331.792*1000</f>
        <v>7910331792</v>
      </c>
      <c r="H11" s="81">
        <f>SUM(D11:G11)</f>
        <v>31842933653</v>
      </c>
      <c r="I11" s="42">
        <f>H11/H14</f>
        <v>0.9060643330366892</v>
      </c>
      <c r="K11" s="1" t="s">
        <v>91</v>
      </c>
      <c r="L11" s="115">
        <v>8229254542</v>
      </c>
      <c r="M11" s="81">
        <f>E11*(1+VLOOKUP('RPW Vol and Rev'!$K11,'First Class Mail Volume Trend'!$B$7:$C$9,2,FALSE))</f>
        <v>7148896686.699994</v>
      </c>
      <c r="N11" s="91">
        <f>F11*(1+VLOOKUP('RPW Vol and Rev'!$K11,'First Class Mail Volume Trend'!$B$7:$C$9,2,FALSE))</f>
        <v>7075801571.949645</v>
      </c>
      <c r="O11" s="91">
        <f>G11*(1+VLOOKUP('RPW Vol and Rev'!$K11,'First Class Mail Volume Trend'!$B$7:$C$9,2,FALSE))</f>
        <v>7466306579.024091</v>
      </c>
      <c r="P11" s="81">
        <f>SUM(L11:O11)</f>
        <v>29920259379.67373</v>
      </c>
      <c r="Q11" s="42">
        <f>P11/P14</f>
        <v>0.9116550447397983</v>
      </c>
      <c r="S11" s="1" t="s">
        <v>91</v>
      </c>
      <c r="T11" s="90">
        <f>L11*(1+VLOOKUP($S11,'First Class Mail Volume Trend'!$B$7:$C$9,2,FALSE))</f>
        <v>7767327457.684784</v>
      </c>
      <c r="U11" s="91">
        <f>M11*(1+VLOOKUP($S11,'First Class Mail Volume Trend'!$B$7:$C$9,2,FALSE))</f>
        <v>6747612586.699915</v>
      </c>
      <c r="V11" s="91">
        <f>N11*(1+VLOOKUP($S11,'First Class Mail Volume Trend'!$B$7:$C$9,2,FALSE))</f>
        <v>6678620469.743836</v>
      </c>
      <c r="W11" s="91">
        <f>O11*(1+VLOOKUP($S11,'First Class Mail Volume Trend'!$B$7:$C$9,2,FALSE))</f>
        <v>7047205527.883934</v>
      </c>
      <c r="X11" s="81">
        <f>SUM(T11:W11)</f>
        <v>28240766042.01247</v>
      </c>
      <c r="Y11" s="42">
        <f>X11/X14</f>
        <v>0.9160821968339189</v>
      </c>
    </row>
    <row r="12" spans="1:25" ht="9.75">
      <c r="A12" s="17">
        <f>A11+1</f>
        <v>2</v>
      </c>
      <c r="B12" s="1" t="s">
        <v>92</v>
      </c>
      <c r="C12" s="84">
        <v>775313863</v>
      </c>
      <c r="D12" s="84">
        <v>689365319</v>
      </c>
      <c r="E12" s="85">
        <v>690584186</v>
      </c>
      <c r="F12" s="85">
        <v>666972986</v>
      </c>
      <c r="G12" s="84">
        <f>741642.768*1000</f>
        <v>741642768</v>
      </c>
      <c r="H12" s="81">
        <f>SUM(D12:G12)</f>
        <v>2788565259</v>
      </c>
      <c r="I12" s="42">
        <f>H12/H14</f>
        <v>0.07934631742974092</v>
      </c>
      <c r="K12" s="1" t="s">
        <v>92</v>
      </c>
      <c r="L12" s="84">
        <v>585146619</v>
      </c>
      <c r="M12" s="81">
        <f>E12*(1+VLOOKUP('RPW Vol and Rev'!$K12,'First Class Mail Volume Trend'!$B$7:$C$9,2,FALSE))</f>
        <v>625570281.9259665</v>
      </c>
      <c r="N12" s="91">
        <f>F12*(1+VLOOKUP('RPW Vol and Rev'!$K12,'First Class Mail Volume Trend'!$B$7:$C$9,2,FALSE))</f>
        <v>604181919.2323985</v>
      </c>
      <c r="O12" s="91">
        <f>G12*(1+VLOOKUP('RPW Vol and Rev'!$K12,'First Class Mail Volume Trend'!$B$7:$C$9,2,FALSE))</f>
        <v>671822038.3142601</v>
      </c>
      <c r="P12" s="81">
        <f>SUM(L12:O12)</f>
        <v>2486720858.4726253</v>
      </c>
      <c r="Q12" s="42">
        <f>P12/P14</f>
        <v>0.07576911639430353</v>
      </c>
      <c r="S12" s="1" t="s">
        <v>92</v>
      </c>
      <c r="T12" s="90">
        <f>L12*(1+VLOOKUP($S12,'First Class Mail Volume Trend'!$B$7:$C$9,2,FALSE))</f>
        <v>530058959.9887769</v>
      </c>
      <c r="U12" s="91">
        <f>M12*(1+VLOOKUP($S12,'First Class Mail Volume Trend'!$B$7:$C$9,2,FALSE))</f>
        <v>566677004.1399894</v>
      </c>
      <c r="V12" s="91">
        <f>N12*(1+VLOOKUP($S12,'First Class Mail Volume Trend'!$B$7:$C$9,2,FALSE))</f>
        <v>547302213.4172981</v>
      </c>
      <c r="W12" s="91">
        <f>O12*(1+VLOOKUP($S12,'First Class Mail Volume Trend'!$B$7:$C$9,2,FALSE))</f>
        <v>608574465.550141</v>
      </c>
      <c r="X12" s="81">
        <f>SUM(T12:W12)</f>
        <v>2252612643.096205</v>
      </c>
      <c r="Y12" s="42">
        <f>X12/X14</f>
        <v>0.07307090521671909</v>
      </c>
    </row>
    <row r="13" spans="1:25" ht="9.75">
      <c r="A13" s="17">
        <f>A12+1</f>
        <v>3</v>
      </c>
      <c r="B13" s="1" t="s">
        <v>121</v>
      </c>
      <c r="C13" s="84">
        <v>158862941.99999997</v>
      </c>
      <c r="D13" s="84">
        <v>144619634.99999997</v>
      </c>
      <c r="E13" s="85">
        <v>120950227</v>
      </c>
      <c r="F13" s="85">
        <v>115791859.00000001</v>
      </c>
      <c r="G13" s="84">
        <v>131369739.99999999</v>
      </c>
      <c r="H13" s="81">
        <f>SUM(D13:G13)</f>
        <v>512731461</v>
      </c>
      <c r="I13" s="42">
        <f>H13/H14</f>
        <v>0.01458934953356988</v>
      </c>
      <c r="K13" s="1" t="s">
        <v>121</v>
      </c>
      <c r="L13" s="84">
        <v>114502540</v>
      </c>
      <c r="M13" s="81">
        <f>E13*(1+VLOOKUP('RPW Vol and Rev'!$K13,'First Class Mail Volume Trend'!$B$7:$C$9,2,FALSE))</f>
        <v>97990165.93630536</v>
      </c>
      <c r="N13" s="91">
        <f>F13*(1+VLOOKUP('RPW Vol and Rev'!$K13,'First Class Mail Volume Trend'!$B$7:$C$9,2,FALSE))</f>
        <v>93811014.3231337</v>
      </c>
      <c r="O13" s="91">
        <f>G13*(1+VLOOKUP('RPW Vol and Rev'!$K13,'First Class Mail Volume Trend'!$B$7:$C$9,2,FALSE))</f>
        <v>106431735.93720737</v>
      </c>
      <c r="P13" s="81">
        <f>SUM(L13:O13)</f>
        <v>412735456.19664645</v>
      </c>
      <c r="Q13" s="42">
        <f>P13/P14</f>
        <v>0.012575838865898158</v>
      </c>
      <c r="S13" s="1" t="s">
        <v>121</v>
      </c>
      <c r="T13" s="90">
        <f>L13*(1+VLOOKUP($S13,'First Class Mail Volume Trend'!$B$7:$C$9,2,FALSE))</f>
        <v>92766447.5960714</v>
      </c>
      <c r="U13" s="91">
        <f>M13*(1+VLOOKUP($S13,'First Class Mail Volume Trend'!$B$7:$C$9,2,FALSE))</f>
        <v>79388628.35060787</v>
      </c>
      <c r="V13" s="91">
        <f>N13*(1+VLOOKUP($S13,'First Class Mail Volume Trend'!$B$7:$C$9,2,FALSE))</f>
        <v>76002807.83414313</v>
      </c>
      <c r="W13" s="91">
        <f>O13*(1+VLOOKUP($S13,'First Class Mail Volume Trend'!$B$7:$C$9,2,FALSE))</f>
        <v>86227729.57156983</v>
      </c>
      <c r="X13" s="81">
        <f>SUM(T13:W13)</f>
        <v>334385613.35239226</v>
      </c>
      <c r="Y13" s="42">
        <f>X13/X14</f>
        <v>0.010846897949361995</v>
      </c>
    </row>
    <row r="14" spans="1:25" ht="9.75">
      <c r="A14" s="17">
        <f>A13+1</f>
        <v>4</v>
      </c>
      <c r="B14" s="1" t="s">
        <v>48</v>
      </c>
      <c r="C14" s="12">
        <f>SUM(C11:C13)</f>
        <v>9171639649</v>
      </c>
      <c r="D14" s="12">
        <f>SUM(D11:D13)</f>
        <v>9695938205</v>
      </c>
      <c r="E14" s="13">
        <f>SUM(E11:E13)</f>
        <v>8385579778</v>
      </c>
      <c r="F14" s="13">
        <f>SUM(F11:F13)</f>
        <v>8279368090</v>
      </c>
      <c r="G14" s="13">
        <f>SUM(G11:G13)</f>
        <v>8783344300</v>
      </c>
      <c r="H14" s="13">
        <f>SUM(D14:G14)</f>
        <v>35144230373</v>
      </c>
      <c r="I14" s="42">
        <f>H14/H14</f>
        <v>1</v>
      </c>
      <c r="K14" s="1" t="s">
        <v>48</v>
      </c>
      <c r="L14" s="12">
        <f>SUM(L11:L13)</f>
        <v>8928903701</v>
      </c>
      <c r="M14" s="13">
        <f>SUM(M11:M13)</f>
        <v>7872457134.562265</v>
      </c>
      <c r="N14" s="13">
        <f>SUM(N11:N13)</f>
        <v>7773794505.505177</v>
      </c>
      <c r="O14" s="13">
        <f>SUM(O11:O13)</f>
        <v>8244560353.275558</v>
      </c>
      <c r="P14" s="13">
        <f>SUM(L14:O14)</f>
        <v>32819715694.343002</v>
      </c>
      <c r="Q14" s="42">
        <f>SUM(Q11:Q13)</f>
        <v>1</v>
      </c>
      <c r="S14" s="1" t="s">
        <v>48</v>
      </c>
      <c r="T14" s="12">
        <f>SUM(T11:T13)</f>
        <v>8390152865.269632</v>
      </c>
      <c r="U14" s="13">
        <f>SUM(U11:U13)</f>
        <v>7393678219.190513</v>
      </c>
      <c r="V14" s="13">
        <f>SUM(V11:V13)</f>
        <v>7301925490.995277</v>
      </c>
      <c r="W14" s="13">
        <f>SUM(W11:W13)</f>
        <v>7742007723.005645</v>
      </c>
      <c r="X14" s="13">
        <f>SUM(T14:W14)</f>
        <v>30827764298.461067</v>
      </c>
      <c r="Y14" s="42">
        <f>SUM(Y11:Y13)</f>
        <v>1</v>
      </c>
    </row>
    <row r="15" spans="2:25" ht="9.75">
      <c r="B15" s="11"/>
      <c r="C15" s="11"/>
      <c r="D15" s="110"/>
      <c r="E15" s="110"/>
      <c r="F15" s="11"/>
      <c r="G15" s="11"/>
      <c r="H15" s="11"/>
      <c r="I15" s="35"/>
      <c r="K15" s="11"/>
      <c r="L15" s="36"/>
      <c r="M15" s="110"/>
      <c r="N15" s="11"/>
      <c r="O15" s="11"/>
      <c r="P15" s="36"/>
      <c r="Q15" s="14"/>
      <c r="T15" s="12"/>
      <c r="U15" s="13"/>
      <c r="V15" s="7"/>
      <c r="W15" s="7"/>
      <c r="X15" s="127"/>
      <c r="Y15" s="14"/>
    </row>
    <row r="16" spans="3:8" ht="10.5">
      <c r="C16" s="122" t="s">
        <v>111</v>
      </c>
      <c r="D16" s="123" t="s">
        <v>112</v>
      </c>
      <c r="E16" s="124" t="s">
        <v>110</v>
      </c>
      <c r="F16" s="124" t="s">
        <v>109</v>
      </c>
      <c r="G16" s="121" t="s">
        <v>97</v>
      </c>
      <c r="H16" s="16"/>
    </row>
    <row r="17" spans="3:14" ht="10.5">
      <c r="C17" s="116"/>
      <c r="D17" s="59" t="s">
        <v>72</v>
      </c>
      <c r="E17" s="79"/>
      <c r="F17" s="79"/>
      <c r="G17" s="79"/>
      <c r="H17" s="80"/>
      <c r="K17" s="11"/>
      <c r="L17" s="92"/>
      <c r="M17" s="92"/>
      <c r="N17" s="66"/>
    </row>
    <row r="18" spans="2:13" ht="10.5">
      <c r="B18" s="5" t="s">
        <v>46</v>
      </c>
      <c r="C18" s="117"/>
      <c r="D18" s="76" t="s">
        <v>59</v>
      </c>
      <c r="E18" s="77" t="s">
        <v>60</v>
      </c>
      <c r="F18" s="77" t="s">
        <v>61</v>
      </c>
      <c r="G18" s="77" t="s">
        <v>62</v>
      </c>
      <c r="H18" s="77" t="s">
        <v>114</v>
      </c>
      <c r="I18" s="77" t="s">
        <v>49</v>
      </c>
      <c r="K18" s="22"/>
      <c r="L18" s="92"/>
      <c r="M18" s="92"/>
    </row>
    <row r="19" spans="1:13" ht="9.75">
      <c r="A19" s="17">
        <f>A14+1</f>
        <v>5</v>
      </c>
      <c r="B19" s="1" t="s">
        <v>91</v>
      </c>
      <c r="C19" s="86">
        <v>3566469218</v>
      </c>
      <c r="D19" s="86">
        <v>3837264658</v>
      </c>
      <c r="E19" s="87">
        <v>3278993235</v>
      </c>
      <c r="F19" s="87">
        <v>3432459313</v>
      </c>
      <c r="G19" s="86">
        <f>3642067.821*1000</f>
        <v>3642067821</v>
      </c>
      <c r="H19" s="88">
        <f>SUM(D19:G19)</f>
        <v>14190785027</v>
      </c>
      <c r="I19" s="42">
        <f>H19/H22</f>
        <v>0.9048069762213046</v>
      </c>
      <c r="K19" s="11"/>
      <c r="L19" s="149"/>
      <c r="M19" s="125"/>
    </row>
    <row r="20" spans="1:13" ht="9.75">
      <c r="A20" s="17">
        <f>A19+1</f>
        <v>6</v>
      </c>
      <c r="B20" s="1" t="s">
        <v>92</v>
      </c>
      <c r="C20" s="86">
        <v>239954597</v>
      </c>
      <c r="D20" s="86">
        <v>213955076</v>
      </c>
      <c r="E20" s="87">
        <v>214334022</v>
      </c>
      <c r="F20" s="87">
        <v>223358626</v>
      </c>
      <c r="G20" s="86">
        <f>249311.852*1000</f>
        <v>249311852</v>
      </c>
      <c r="H20" s="88">
        <f>SUM(D20:G20)</f>
        <v>900959576</v>
      </c>
      <c r="I20" s="42">
        <f>H20/H22</f>
        <v>0.05744534274229117</v>
      </c>
      <c r="K20" s="11"/>
      <c r="L20" s="149"/>
      <c r="M20" s="125"/>
    </row>
    <row r="21" spans="1:13" ht="9.75">
      <c r="A21" s="17">
        <f>A20+1</f>
        <v>7</v>
      </c>
      <c r="B21" s="1" t="s">
        <v>121</v>
      </c>
      <c r="C21" s="86">
        <v>173064968.99999997</v>
      </c>
      <c r="D21" s="86">
        <v>158016828</v>
      </c>
      <c r="E21" s="87">
        <v>131575188</v>
      </c>
      <c r="F21" s="87">
        <v>139631300.99999997</v>
      </c>
      <c r="G21" s="86">
        <v>162802651.99999997</v>
      </c>
      <c r="H21" s="88">
        <f>SUM(D21:G21)</f>
        <v>592025969</v>
      </c>
      <c r="I21" s="42">
        <f>H21/H22</f>
        <v>0.03774768103640429</v>
      </c>
      <c r="K21" s="11"/>
      <c r="L21" s="149"/>
      <c r="M21" s="125"/>
    </row>
    <row r="22" spans="1:13" ht="9.75">
      <c r="A22" s="17">
        <f>A21+1</f>
        <v>8</v>
      </c>
      <c r="B22" s="1" t="s">
        <v>48</v>
      </c>
      <c r="C22" s="111">
        <f aca="true" t="shared" si="0" ref="C22:I22">SUM(C19:C21)</f>
        <v>3979488784</v>
      </c>
      <c r="D22" s="111">
        <f t="shared" si="0"/>
        <v>4209236562</v>
      </c>
      <c r="E22" s="112">
        <f t="shared" si="0"/>
        <v>3624902445</v>
      </c>
      <c r="F22" s="112">
        <f t="shared" si="0"/>
        <v>3795449240</v>
      </c>
      <c r="G22" s="112">
        <f t="shared" si="0"/>
        <v>4054182325</v>
      </c>
      <c r="H22" s="88">
        <f t="shared" si="0"/>
        <v>15683770572</v>
      </c>
      <c r="I22" s="42">
        <f t="shared" si="0"/>
        <v>1</v>
      </c>
      <c r="K22" s="11"/>
      <c r="L22" s="110"/>
      <c r="M22" s="110"/>
    </row>
    <row r="23" spans="11:14" ht="9.75">
      <c r="K23" s="11"/>
      <c r="L23" s="110"/>
      <c r="M23" s="110"/>
      <c r="N23" s="11"/>
    </row>
    <row r="24" spans="3:12" ht="10.5">
      <c r="C24" s="122" t="s">
        <v>111</v>
      </c>
      <c r="D24" s="123" t="s">
        <v>112</v>
      </c>
      <c r="E24" s="124" t="s">
        <v>110</v>
      </c>
      <c r="F24" s="124" t="s">
        <v>109</v>
      </c>
      <c r="G24" s="121" t="s">
        <v>97</v>
      </c>
      <c r="K24" s="11"/>
      <c r="L24" s="11"/>
    </row>
    <row r="25" spans="3:12" ht="10.5">
      <c r="C25" s="116"/>
      <c r="D25" s="59" t="s">
        <v>73</v>
      </c>
      <c r="E25" s="79"/>
      <c r="F25" s="79"/>
      <c r="G25" s="79"/>
      <c r="H25" s="80"/>
      <c r="K25" s="11"/>
      <c r="L25" s="92"/>
    </row>
    <row r="26" spans="2:12" ht="10.5">
      <c r="B26" s="5" t="s">
        <v>46</v>
      </c>
      <c r="C26" s="117"/>
      <c r="D26" s="76" t="s">
        <v>59</v>
      </c>
      <c r="E26" s="77" t="s">
        <v>60</v>
      </c>
      <c r="F26" s="77" t="s">
        <v>61</v>
      </c>
      <c r="G26" s="77" t="s">
        <v>62</v>
      </c>
      <c r="H26" s="77" t="s">
        <v>114</v>
      </c>
      <c r="I26" s="92"/>
      <c r="J26" s="11"/>
      <c r="K26" s="22"/>
      <c r="L26" s="92"/>
    </row>
    <row r="27" spans="1:13" ht="9.75">
      <c r="A27" s="17">
        <f>A22+1</f>
        <v>9</v>
      </c>
      <c r="B27" s="1" t="s">
        <v>91</v>
      </c>
      <c r="C27" s="118">
        <f>C19/C11</f>
        <v>0.43295724491161053</v>
      </c>
      <c r="D27" s="113">
        <f aca="true" t="shared" si="1" ref="D27:H30">D19/D11</f>
        <v>0.4330043895872499</v>
      </c>
      <c r="E27" s="113">
        <f t="shared" si="1"/>
        <v>0.43292495317659085</v>
      </c>
      <c r="F27" s="113">
        <f t="shared" si="1"/>
        <v>0.4578686107323798</v>
      </c>
      <c r="G27" s="113">
        <f t="shared" si="1"/>
        <v>0.46041909704512685</v>
      </c>
      <c r="H27" s="113">
        <f t="shared" si="1"/>
        <v>0.4456494235625508</v>
      </c>
      <c r="I27" s="114"/>
      <c r="J27" s="11"/>
      <c r="K27" s="11"/>
      <c r="L27" s="150"/>
      <c r="M27" s="16"/>
    </row>
    <row r="28" spans="1:12" ht="9.75">
      <c r="A28" s="17">
        <f>A27+1</f>
        <v>10</v>
      </c>
      <c r="B28" s="1" t="s">
        <v>92</v>
      </c>
      <c r="C28" s="118">
        <f>C20/C12</f>
        <v>0.309493494765487</v>
      </c>
      <c r="D28" s="113">
        <f t="shared" si="1"/>
        <v>0.31036530284169983</v>
      </c>
      <c r="E28" s="113">
        <f t="shared" si="1"/>
        <v>0.31036624693285403</v>
      </c>
      <c r="F28" s="113">
        <f t="shared" si="1"/>
        <v>0.334884066803869</v>
      </c>
      <c r="G28" s="113">
        <f t="shared" si="1"/>
        <v>0.3361616437956016</v>
      </c>
      <c r="H28" s="113">
        <f t="shared" si="1"/>
        <v>0.32309072670692696</v>
      </c>
      <c r="I28" s="114"/>
      <c r="J28" s="11"/>
      <c r="K28" s="11"/>
      <c r="L28" s="150"/>
    </row>
    <row r="29" spans="1:12" ht="9.75">
      <c r="A29" s="17">
        <f>A28+1</f>
        <v>11</v>
      </c>
      <c r="B29" s="1" t="s">
        <v>121</v>
      </c>
      <c r="C29" s="118">
        <f>C21/C13</f>
        <v>1.089397985591882</v>
      </c>
      <c r="D29" s="113">
        <f t="shared" si="1"/>
        <v>1.0926374416585967</v>
      </c>
      <c r="E29" s="113">
        <f t="shared" si="1"/>
        <v>1.0878457301283113</v>
      </c>
      <c r="F29" s="113">
        <f t="shared" si="1"/>
        <v>1.2058818487403329</v>
      </c>
      <c r="G29" s="113">
        <f t="shared" si="1"/>
        <v>1.2392705656569007</v>
      </c>
      <c r="H29" s="113">
        <f>H21/H13</f>
        <v>1.154651145933875</v>
      </c>
      <c r="I29" s="114"/>
      <c r="J29" s="11"/>
      <c r="K29" s="11"/>
      <c r="L29" s="150"/>
    </row>
    <row r="30" spans="1:12" ht="9.75">
      <c r="A30" s="17">
        <f>A29+1</f>
        <v>12</v>
      </c>
      <c r="B30" s="1" t="s">
        <v>48</v>
      </c>
      <c r="C30" s="118">
        <f>C22/C14</f>
        <v>0.4338906603721496</v>
      </c>
      <c r="D30" s="113">
        <f t="shared" si="1"/>
        <v>0.43412369932693895</v>
      </c>
      <c r="E30" s="113">
        <f t="shared" si="1"/>
        <v>0.4322780941766386</v>
      </c>
      <c r="F30" s="113">
        <f t="shared" si="1"/>
        <v>0.45842257509775725</v>
      </c>
      <c r="G30" s="113">
        <f t="shared" si="1"/>
        <v>0.461576158980811</v>
      </c>
      <c r="H30" s="113">
        <f t="shared" si="1"/>
        <v>0.4462687162456474</v>
      </c>
      <c r="I30" s="114"/>
      <c r="J30" s="11"/>
      <c r="K30" s="11"/>
      <c r="L30" s="150"/>
    </row>
    <row r="31" spans="3:12" ht="9.75">
      <c r="C31" s="11"/>
      <c r="D31" s="110"/>
      <c r="E31" s="110"/>
      <c r="F31" s="11"/>
      <c r="G31" s="11"/>
      <c r="H31" s="11"/>
      <c r="I31" s="35"/>
      <c r="J31" s="11"/>
      <c r="K31" s="11"/>
      <c r="L31" s="11"/>
    </row>
    <row r="32" spans="11:12" ht="9.75">
      <c r="K32" s="11"/>
      <c r="L32" s="11"/>
    </row>
    <row r="36" ht="9.75">
      <c r="I36" s="16"/>
    </row>
    <row r="37" ht="9.75">
      <c r="I37" s="16"/>
    </row>
    <row r="38" ht="9.75">
      <c r="I38" s="45"/>
    </row>
    <row r="41" ht="9.75">
      <c r="H41" s="16"/>
    </row>
    <row r="42" ht="9.75">
      <c r="H42" s="16"/>
    </row>
    <row r="43" ht="9.75">
      <c r="H43" s="16"/>
    </row>
    <row r="44" ht="9.75">
      <c r="H44" s="16"/>
    </row>
    <row r="46" ht="9.75">
      <c r="H46" s="45"/>
    </row>
  </sheetData>
  <sheetProtection/>
  <printOptions/>
  <pageMargins left="0.75" right="0.75" top="1" bottom="1" header="0.5" footer="0.5"/>
  <pageSetup horizontalDpi="200" verticalDpi="200" orientation="landscape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4.57421875" style="1" customWidth="1"/>
    <col min="4" max="4" width="10.28125" style="1" bestFit="1" customWidth="1"/>
    <col min="5" max="6" width="10.8515625" style="1" bestFit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2" ht="19.5">
      <c r="B2" s="2" t="str">
        <f>'RPW Vol and Rev'!B2</f>
        <v>CY2024 First-Class Mail Incentive Program</v>
      </c>
    </row>
    <row r="3" ht="12.75">
      <c r="B3" s="3" t="s">
        <v>93</v>
      </c>
    </row>
    <row r="4" ht="9.75">
      <c r="B4" s="1" t="s">
        <v>113</v>
      </c>
    </row>
    <row r="6" spans="2:3" ht="9.75">
      <c r="B6" s="11"/>
      <c r="C6" s="83" t="s">
        <v>123</v>
      </c>
    </row>
    <row r="7" spans="2:4" ht="9.75">
      <c r="B7" s="82" t="s">
        <v>91</v>
      </c>
      <c r="C7" s="151">
        <f>('RPW Vol and Rev'!L11+'RPW Vol and Rev'!G11)/('RPW Vol and Rev'!C11+'RPW Vol and Rev'!D11)-1</f>
        <v>-0.05613231210161973</v>
      </c>
      <c r="D7" s="11"/>
    </row>
    <row r="8" spans="2:10" ht="9.75">
      <c r="B8" s="82" t="s">
        <v>92</v>
      </c>
      <c r="C8" s="151">
        <f>('RPW Vol and Rev'!L12+'RPW Vol and Rev'!G12)/('RPW Vol and Rev'!C12+'RPW Vol and Rev'!D12)-1</f>
        <v>-0.09414334326218343</v>
      </c>
      <c r="D8" s="11"/>
      <c r="E8" s="53"/>
      <c r="F8" s="53"/>
      <c r="H8" s="53"/>
      <c r="J8" s="54"/>
    </row>
    <row r="9" spans="2:10" ht="9.75">
      <c r="B9" s="1" t="s">
        <v>121</v>
      </c>
      <c r="C9" s="152">
        <f>('RPW Vol and Rev'!L13+'RPW Vol and Rev'!G13)/('RPW Vol and Rev'!C13+'RPW Vol and Rev'!D13)-1</f>
        <v>-0.1898306570660231</v>
      </c>
      <c r="D9" s="11"/>
      <c r="E9" s="53"/>
      <c r="H9" s="53"/>
      <c r="J9" s="54"/>
    </row>
    <row r="10" spans="2:3" ht="9.75">
      <c r="B10" s="1" t="s">
        <v>106</v>
      </c>
      <c r="C10" s="151">
        <f>('RPW Vol and Rev'!L14+'RPW Vol and Rev'!G14)/('RPW Vol and Rev'!C14+'RPW Vol and Rev'!D14)-1</f>
        <v>-0.06123360729925731</v>
      </c>
    </row>
  </sheetData>
  <sheetProtection/>
  <printOptions/>
  <pageMargins left="0.75" right="0.75" top="1" bottom="1" header="0.5" footer="0.5"/>
  <pageSetup horizontalDpi="200" verticalDpi="200" orientation="landscape" scale="84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bdmayer</dc:creator>
  <cp:keywords/>
  <dc:description/>
  <cp:lastModifiedBy>Tell, Clifford A - Washington, DC</cp:lastModifiedBy>
  <cp:lastPrinted>2023-08-01T21:13:21Z</cp:lastPrinted>
  <dcterms:created xsi:type="dcterms:W3CDTF">2013-08-13T19:20:21Z</dcterms:created>
  <dcterms:modified xsi:type="dcterms:W3CDTF">2023-08-11T12:36:42Z</dcterms:modified>
  <cp:category/>
  <cp:version/>
  <cp:contentType/>
  <cp:contentStatus/>
</cp:coreProperties>
</file>